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6240" tabRatio="860" activeTab="1"/>
  </bookViews>
  <sheets>
    <sheet name="财务模型假设" sheetId="5" r:id="rId1"/>
    <sheet name="P&amp;L-毛利之上部分" sheetId="6" r:id="rId2"/>
    <sheet name="逾期垫付&amp;资金成本预测" sheetId="7" r:id="rId3"/>
    <sheet name="整体GMV假设（无关联）" sheetId="8" r:id="rId4"/>
    <sheet name="原版-业务假设" sheetId="1" state="hidden" r:id="rId5"/>
    <sheet name="原版-2019年新房垫佣测算--分摊至2021年垫资资金成本" sheetId="2" state="hidden" r:id="rId6"/>
    <sheet name="原版-2020-2021年垫资资金成本1" sheetId="3" state="hidden" r:id="rId7"/>
    <sheet name="新房垫佣金测算-原版" sheetId="4" state="hidden" r:id="rId8"/>
  </sheets>
  <externalReferences>
    <externalReference r:id="rId9"/>
  </externalReferences>
  <definedNames>
    <definedName name="__ControlBit__">"ENCODE_"</definedName>
    <definedName name="__Convert__">"ENCODE_"</definedName>
    <definedName name="__IncludeVoucher__">"ENCODE_"</definedName>
    <definedName name="__LockDescription__">"ENCODE_MAA="</definedName>
    <definedName name="__LockFormula__">"ENCODE_MAA="</definedName>
    <definedName name="__RoundBit__">"ENCODE_"</definedName>
    <definedName name="__RptBeginDate__">"ENCODE_"</definedName>
    <definedName name="__RptCurrency__">"ENCODE_"</definedName>
    <definedName name="__RptEndDate__">"ENCODE_"</definedName>
    <definedName name="__RptEndPeriod__">"ENCODE_NAA="</definedName>
    <definedName name="__RptGroupCurrency__">"ENCODE_"</definedName>
    <definedName name="__RptPeriod__">"ENCODE_NAA="</definedName>
    <definedName name="__RptYear__">"ENCODE_MgAwADAANgA="</definedName>
    <definedName name="__SelfDsn__">"ENCODE_"</definedName>
    <definedName name="__VBA__">"ENCODE_"</definedName>
    <definedName name="__VBA__1">"ENCODE_"</definedName>
    <definedName name="a" localSheetId="1" hidden="1">#REF!</definedName>
    <definedName name="a" localSheetId="2" hidden="1">#REF!</definedName>
    <definedName name="a" hidden="1">#REF!</definedName>
    <definedName name="aa" localSheetId="1" hidden="1">#REF!</definedName>
    <definedName name="aa" localSheetId="2" hidden="1">#REF!</definedName>
    <definedName name="aa" hidden="1">#REF!</definedName>
    <definedName name="b" localSheetId="1" hidden="1">#REF!</definedName>
    <definedName name="b" localSheetId="2" hidden="1">#REF!</definedName>
    <definedName name="b" hidden="1">#REF!</definedName>
    <definedName name="bb" localSheetId="1">#REF!</definedName>
    <definedName name="bb" localSheetId="2">#REF!</definedName>
    <definedName name="bb">#REF!</definedName>
    <definedName name="cc" localSheetId="1" hidden="1">#REF!</definedName>
    <definedName name="cc" localSheetId="2" hidden="1">#REF!</definedName>
    <definedName name="cc" hidden="1">#REF!</definedName>
    <definedName name="d" localSheetId="1" hidden="1">#REF!</definedName>
    <definedName name="d" localSheetId="2" hidden="1">#REF!</definedName>
    <definedName name="d" hidden="1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dd" localSheetId="1" hidden="1">#REF!</definedName>
    <definedName name="dd" localSheetId="2" hidden="1">#REF!</definedName>
    <definedName name="dd" hidden="1">#REF!</definedName>
    <definedName name="e" localSheetId="1" hidden="1">#REF!</definedName>
    <definedName name="e" localSheetId="2" hidden="1">#REF!</definedName>
    <definedName name="e" hidden="1">#REF!</definedName>
    <definedName name="ee" localSheetId="1" hidden="1">#REF!</definedName>
    <definedName name="ee" localSheetId="2" hidden="1">#REF!</definedName>
    <definedName name="ee" hidden="1">#REF!</definedName>
    <definedName name="f" localSheetId="1" hidden="1">#REF!</definedName>
    <definedName name="f" localSheetId="2" hidden="1">#REF!</definedName>
    <definedName name="f" hidden="1">#REF!</definedName>
    <definedName name="FADJUSTRS1">"ENCODE_"</definedName>
    <definedName name="FCHECKOUTBY">-5</definedName>
    <definedName name="FCLASSID">1</definedName>
    <definedName name="FCLASSVERNUMBER">1</definedName>
    <definedName name="FCOMPANYID">1</definedName>
    <definedName name="FCURRENCYID">1</definedName>
    <definedName name="FCYCLEID">5</definedName>
    <definedName name="ff" localSheetId="1" hidden="1">#REF!</definedName>
    <definedName name="ff" localSheetId="2" hidden="1">#REF!</definedName>
    <definedName name="ff" hidden="1">#REF!</definedName>
    <definedName name="FISACCEPTED">1</definedName>
    <definedName name="FISAUDIT">1</definedName>
    <definedName name="FISCHANGED">0</definedName>
    <definedName name="FISCHECKED">0</definedName>
    <definedName name="FISHOLDEN">0</definedName>
    <definedName name="FISSUBMITED">1</definedName>
    <definedName name="FITEMLIST2">"ENCODE_"</definedName>
    <definedName name="FMEMORS1">"ENCODE_"</definedName>
    <definedName name="FPERIOD">4</definedName>
    <definedName name="FRPTFRAMEWORKID">1</definedName>
    <definedName name="FSEQUENCE">-1</definedName>
    <definedName name="FYEAR">2006</definedName>
    <definedName name="g" localSheetId="1">#REF!</definedName>
    <definedName name="g" localSheetId="2">#REF!</definedName>
    <definedName name="g">#REF!</definedName>
    <definedName name="gg" localSheetId="1" hidden="1">#REF!</definedName>
    <definedName name="gg" localSheetId="2" hidden="1">#REF!</definedName>
    <definedName name="gg" hidden="1">#REF!</definedName>
    <definedName name="h" localSheetId="1">#REF!</definedName>
    <definedName name="h" localSheetId="2">#REF!</definedName>
    <definedName name="h">#REF!</definedName>
    <definedName name="hh" localSheetId="1" hidden="1">#REF!</definedName>
    <definedName name="hh" localSheetId="2" hidden="1">#REF!</definedName>
    <definedName name="hh" hidden="1">#REF!</definedName>
    <definedName name="i" localSheetId="1" hidden="1">#REF!</definedName>
    <definedName name="i" localSheetId="2" hidden="1">#REF!</definedName>
    <definedName name="i" hidden="1">#REF!</definedName>
    <definedName name="ii" localSheetId="1" hidden="1">#REF!</definedName>
    <definedName name="ii" localSheetId="2" hidden="1">#REF!</definedName>
    <definedName name="ii" hidden="1">#REF!</definedName>
    <definedName name="j" localSheetId="1" hidden="1">#REF!</definedName>
    <definedName name="j" localSheetId="2" hidden="1">#REF!</definedName>
    <definedName name="j" hidden="1">#REF!</definedName>
    <definedName name="jj" localSheetId="1" hidden="1">#REF!</definedName>
    <definedName name="jj" localSheetId="2" hidden="1">#REF!</definedName>
    <definedName name="jj" hidden="1">#REF!</definedName>
    <definedName name="k" localSheetId="1">#REF!</definedName>
    <definedName name="k" localSheetId="2">#REF!</definedName>
    <definedName name="k">#REF!</definedName>
    <definedName name="kk" localSheetId="1" hidden="1">#REF!</definedName>
    <definedName name="kk" localSheetId="2" hidden="1">#REF!</definedName>
    <definedName name="kk" hidden="1">#REF!</definedName>
    <definedName name="l" localSheetId="1" hidden="1">#REF!</definedName>
    <definedName name="l" localSheetId="2" hidden="1">#REF!</definedName>
    <definedName name="l" hidden="1">#REF!</definedName>
    <definedName name="ll" localSheetId="1" hidden="1">#REF!</definedName>
    <definedName name="ll" localSheetId="2" hidden="1">#REF!</definedName>
    <definedName name="ll" hidden="1">#REF!</definedName>
    <definedName name="m" localSheetId="1" hidden="1">#REF!</definedName>
    <definedName name="m" localSheetId="2" hidden="1">#REF!</definedName>
    <definedName name="m" hidden="1">#REF!</definedName>
    <definedName name="mm" localSheetId="1" hidden="1">#REF!</definedName>
    <definedName name="mm" localSheetId="2" hidden="1">#REF!</definedName>
    <definedName name="mm" hidden="1">#REF!</definedName>
    <definedName name="n" localSheetId="1" hidden="1">#REF!</definedName>
    <definedName name="n" localSheetId="2" hidden="1">#REF!</definedName>
    <definedName name="n" hidden="1">#REF!</definedName>
    <definedName name="nn" localSheetId="1" hidden="1">#REF!</definedName>
    <definedName name="nn" localSheetId="2" hidden="1">#REF!</definedName>
    <definedName name="nn" hidden="1">#REF!</definedName>
    <definedName name="o" localSheetId="1" hidden="1">#REF!</definedName>
    <definedName name="o" localSheetId="2" hidden="1">#REF!</definedName>
    <definedName name="o" hidden="1">#REF!</definedName>
    <definedName name="oo" localSheetId="1" hidden="1">#REF!</definedName>
    <definedName name="oo" localSheetId="2" hidden="1">#REF!</definedName>
    <definedName name="oo" hidden="1">#REF!</definedName>
    <definedName name="p" localSheetId="1" hidden="1">#REF!</definedName>
    <definedName name="p" localSheetId="2" hidden="1">#REF!</definedName>
    <definedName name="p" hidden="1">#REF!</definedName>
    <definedName name="pp" localSheetId="1" hidden="1">#REF!</definedName>
    <definedName name="pp" localSheetId="2" hidden="1">#REF!</definedName>
    <definedName name="pp" hidden="1">#REF!</definedName>
    <definedName name="q" localSheetId="1" hidden="1">#REF!</definedName>
    <definedName name="q" localSheetId="2" hidden="1">#REF!</definedName>
    <definedName name="q" hidden="1">#REF!</definedName>
    <definedName name="qq" localSheetId="1" hidden="1">#REF!</definedName>
    <definedName name="qq" localSheetId="2" hidden="1">#REF!</definedName>
    <definedName name="qq" hidden="1">#REF!</definedName>
    <definedName name="qqq" localSheetId="1" hidden="1">#REF!</definedName>
    <definedName name="qqq" localSheetId="2" hidden="1">#REF!</definedName>
    <definedName name="qqq" hidden="1">#REF!</definedName>
    <definedName name="rr" localSheetId="1" hidden="1">#REF!</definedName>
    <definedName name="rr" localSheetId="2" hidden="1">#REF!</definedName>
    <definedName name="rr" hidden="1">#REF!</definedName>
    <definedName name="rt" localSheetId="1" hidden="1">#REF!</definedName>
    <definedName name="rt" localSheetId="2" hidden="1">#REF!</definedName>
    <definedName name="rt" hidden="1">#REF!</definedName>
    <definedName name="s" localSheetId="1" hidden="1">#REF!</definedName>
    <definedName name="s" localSheetId="2" hidden="1">#REF!</definedName>
    <definedName name="s" hidden="1">#REF!</definedName>
    <definedName name="ss" localSheetId="1" hidden="1">#REF!</definedName>
    <definedName name="ss" localSheetId="2" hidden="1">#REF!</definedName>
    <definedName name="ss" hidden="1">#REF!</definedName>
    <definedName name="summary" localSheetId="1">#REF!</definedName>
    <definedName name="summary" localSheetId="2">#REF!</definedName>
    <definedName name="summary">#REF!</definedName>
    <definedName name="t" localSheetId="1" hidden="1">#REF!</definedName>
    <definedName name="t" localSheetId="2" hidden="1">#REF!</definedName>
    <definedName name="t" hidden="1">#REF!</definedName>
    <definedName name="tt" localSheetId="1" hidden="1">#REF!</definedName>
    <definedName name="tt" localSheetId="2" hidden="1">#REF!</definedName>
    <definedName name="tt" hidden="1">#REF!</definedName>
    <definedName name="u" localSheetId="1" hidden="1">#REF!</definedName>
    <definedName name="u" localSheetId="2" hidden="1">#REF!</definedName>
    <definedName name="u" hidden="1">#REF!</definedName>
    <definedName name="uu" localSheetId="1" hidden="1">#REF!</definedName>
    <definedName name="uu" localSheetId="2" hidden="1">#REF!</definedName>
    <definedName name="uu" hidden="1">#REF!</definedName>
    <definedName name="v" localSheetId="1" hidden="1">#REF!</definedName>
    <definedName name="v" localSheetId="2" hidden="1">#REF!</definedName>
    <definedName name="v" hidden="1">#REF!</definedName>
    <definedName name="Value" localSheetId="1">#REF!</definedName>
    <definedName name="Value" localSheetId="2">#REF!</definedName>
    <definedName name="Value">#REF!</definedName>
    <definedName name="Value1">[1]Source!$A:$A</definedName>
    <definedName name="valuevx">42.314159</definedName>
    <definedName name="vv" localSheetId="1" hidden="1">#REF!</definedName>
    <definedName name="vv" localSheetId="2" hidden="1">#REF!</definedName>
    <definedName name="vv" hidden="1">#REF!</definedName>
    <definedName name="w" localSheetId="1" hidden="1">#REF!</definedName>
    <definedName name="w" localSheetId="2" hidden="1">#REF!</definedName>
    <definedName name="w" hidden="1">#REF!</definedName>
    <definedName name="whatever" localSheetId="1" hidden="1">#REF!</definedName>
    <definedName name="whatever" localSheetId="2" hidden="1">#REF!</definedName>
    <definedName name="whatever" hidden="1">#REF!</definedName>
    <definedName name="ww" localSheetId="1" hidden="1">#REF!</definedName>
    <definedName name="ww" localSheetId="2" hidden="1">#REF!</definedName>
    <definedName name="ww" hidden="1">#REF!</definedName>
    <definedName name="x" localSheetId="1" hidden="1">#REF!</definedName>
    <definedName name="x" localSheetId="2" hidden="1">#REF!</definedName>
    <definedName name="x" hidden="1">#REF!</definedName>
    <definedName name="xx" localSheetId="1" hidden="1">#REF!</definedName>
    <definedName name="xx" localSheetId="2" hidden="1">#REF!</definedName>
    <definedName name="xx" hidden="1">#REF!</definedName>
    <definedName name="y" localSheetId="1">#REF!</definedName>
    <definedName name="y" localSheetId="2">#REF!</definedName>
    <definedName name="y">#REF!</definedName>
    <definedName name="yy" localSheetId="1" hidden="1">#REF!</definedName>
    <definedName name="yy" localSheetId="2" hidden="1">#REF!</definedName>
    <definedName name="yy" hidden="1">#REF!</definedName>
    <definedName name="z" localSheetId="1" hidden="1">#REF!</definedName>
    <definedName name="z" localSheetId="2" hidden="1">#REF!</definedName>
    <definedName name="z" hidden="1">#REF!</definedName>
    <definedName name="zz" localSheetId="1" hidden="1">#REF!</definedName>
    <definedName name="zz" localSheetId="2" hidden="1">#REF!</definedName>
    <definedName name="zz" hidden="1">#REF!</definedName>
    <definedName name="存货_原材料bg" localSheetId="1" hidden="1">#REF!</definedName>
    <definedName name="存货_原材料bg" localSheetId="2" hidden="1">#REF!</definedName>
    <definedName name="存货_原材料bg" hidden="1">#REF!</definedName>
    <definedName name="存货_原材料mx" localSheetId="1" hidden="1">#REF!</definedName>
    <definedName name="存货_原材料mx" localSheetId="2" hidden="1">#REF!</definedName>
    <definedName name="存货_原材料mx" hidden="1">#REF!</definedName>
    <definedName name="存货bg" localSheetId="1" hidden="1">#REF!</definedName>
    <definedName name="存货bg" localSheetId="2" hidden="1">#REF!</definedName>
    <definedName name="存货bg" hidden="1">#REF!</definedName>
    <definedName name="存货mx" localSheetId="1" hidden="1">#REF!</definedName>
    <definedName name="存货mx" localSheetId="2" hidden="1">#REF!</definedName>
    <definedName name="存货mx" hidden="1">#REF!</definedName>
    <definedName name="公司名称" localSheetId="1">#REF!</definedName>
    <definedName name="公司名称" localSheetId="2">#REF!</definedName>
    <definedName name="公司名称">#REF!</definedName>
    <definedName name="股本bg" localSheetId="1" hidden="1">#REF!</definedName>
    <definedName name="股本bg" localSheetId="2" hidden="1">#REF!</definedName>
    <definedName name="股本bg" hidden="1">#REF!</definedName>
    <definedName name="股本mx" localSheetId="1" hidden="1">#REF!</definedName>
    <definedName name="股本mx" localSheetId="2" hidden="1">#REF!</definedName>
    <definedName name="股本mx" hidden="1">#REF!</definedName>
    <definedName name="固定资产bg" localSheetId="1" hidden="1">#REF!</definedName>
    <definedName name="固定资产bg" localSheetId="2" hidden="1">#REF!</definedName>
    <definedName name="固定资产bg" hidden="1">#REF!</definedName>
    <definedName name="固定资产mx" localSheetId="1" hidden="1">#REF!</definedName>
    <definedName name="固定资产mx" localSheetId="2" hidden="1">#REF!</definedName>
    <definedName name="固定资产mx" hidden="1">#REF!</definedName>
    <definedName name="后台" localSheetId="1">#REF!</definedName>
    <definedName name="后台" localSheetId="2">#REF!</definedName>
    <definedName name="后台">#REF!</definedName>
    <definedName name="坏账准备_其他应收款bg" localSheetId="1" hidden="1">#REF!</definedName>
    <definedName name="坏账准备_其他应收款bg" localSheetId="2" hidden="1">#REF!</definedName>
    <definedName name="坏账准备_其他应收款bg" hidden="1">#REF!</definedName>
    <definedName name="坏账准备_其他应收款mx" localSheetId="1" hidden="1">#REF!</definedName>
    <definedName name="坏账准备_其他应收款mx" localSheetId="2" hidden="1">#REF!</definedName>
    <definedName name="坏账准备_其他应收款mx" hidden="1">#REF!</definedName>
    <definedName name="坏账准备_应收账款bg" localSheetId="1" hidden="1">#REF!</definedName>
    <definedName name="坏账准备_应收账款bg" localSheetId="2" hidden="1">#REF!</definedName>
    <definedName name="坏账准备_应收账款bg" hidden="1">#REF!</definedName>
    <definedName name="坏账准备_应收账款mx" localSheetId="1" hidden="1">#REF!</definedName>
    <definedName name="坏账准备_应收账款mx" localSheetId="2" hidden="1">#REF!</definedName>
    <definedName name="坏账准备_应收账款mx" hidden="1">#REF!</definedName>
    <definedName name="交际应酬费计税调整数" localSheetId="1">#REF!</definedName>
    <definedName name="交际应酬费计税调整数" localSheetId="2">#REF!</definedName>
    <definedName name="交际应酬费计税调整数">#REF!</definedName>
    <definedName name="交际应酬费实际发生额" localSheetId="1">#REF!</definedName>
    <definedName name="交际应酬费实际发生额" localSheetId="2">#REF!</definedName>
    <definedName name="交际应酬费实际发生额">#REF!</definedName>
    <definedName name="京南预算" localSheetId="1" hidden="1">#REF!</definedName>
    <definedName name="京南预算" localSheetId="2" hidden="1">#REF!</definedName>
    <definedName name="京南预算" hidden="1">#REF!</definedName>
    <definedName name="科目余额表" localSheetId="1">#REF!</definedName>
    <definedName name="科目余额表" localSheetId="2">#REF!</definedName>
    <definedName name="科目余额表">#REF!</definedName>
    <definedName name="内部往来bg" localSheetId="1" hidden="1">#REF!</definedName>
    <definedName name="内部往来bg" localSheetId="2" hidden="1">#REF!</definedName>
    <definedName name="内部往来bg" hidden="1">#REF!</definedName>
    <definedName name="内部往来mx" localSheetId="1" hidden="1">#REF!</definedName>
    <definedName name="内部往来mx" localSheetId="2" hidden="1">#REF!</definedName>
    <definedName name="内部往来mx" hidden="1">#REF!</definedName>
    <definedName name="其他业务利润bg" localSheetId="1" hidden="1">#REF!</definedName>
    <definedName name="其他业务利润bg" localSheetId="2" hidden="1">#REF!</definedName>
    <definedName name="其他业务利润bg" hidden="1">#REF!</definedName>
    <definedName name="其他业务利润mx" localSheetId="1" hidden="1">#REF!</definedName>
    <definedName name="其他业务利润mx" localSheetId="2" hidden="1">#REF!</definedName>
    <definedName name="其他业务利润mx" hidden="1">#REF!</definedName>
    <definedName name="其他应付款bg" localSheetId="1" hidden="1">#REF!</definedName>
    <definedName name="其他应付款bg" localSheetId="2" hidden="1">#REF!</definedName>
    <definedName name="其他应付款bg" hidden="1">#REF!</definedName>
    <definedName name="其他应付款mx" localSheetId="1" hidden="1">#REF!</definedName>
    <definedName name="其他应付款mx" localSheetId="2" hidden="1">#REF!</definedName>
    <definedName name="其他应付款mx" hidden="1">#REF!</definedName>
    <definedName name="其他应交款bg" localSheetId="1" hidden="1">#REF!</definedName>
    <definedName name="其他应交款bg" localSheetId="2" hidden="1">#REF!</definedName>
    <definedName name="其他应交款bg" hidden="1">#REF!</definedName>
    <definedName name="其他应交款mx" localSheetId="1" hidden="1">#REF!</definedName>
    <definedName name="其他应交款mx" localSheetId="2" hidden="1">#REF!</definedName>
    <definedName name="其他应交款mx" hidden="1">#REF!</definedName>
    <definedName name="图表1" localSheetId="1" hidden="1">#REF!</definedName>
    <definedName name="图表1" localSheetId="2" hidden="1">#REF!</definedName>
    <definedName name="图表1" hidden="1">#REF!</definedName>
    <definedName name="未分配利润bg" localSheetId="1" hidden="1">#REF!</definedName>
    <definedName name="未分配利润bg" localSheetId="2" hidden="1">#REF!</definedName>
    <definedName name="未分配利润bg" hidden="1">#REF!</definedName>
    <definedName name="未分配利润mx" localSheetId="1" hidden="1">#REF!</definedName>
    <definedName name="未分配利润mx" localSheetId="2" hidden="1">#REF!</definedName>
    <definedName name="未分配利润mx" hidden="1">#REF!</definedName>
    <definedName name="销货净额" localSheetId="1">#REF!</definedName>
    <definedName name="销货净额" localSheetId="2">#REF!</definedName>
    <definedName name="销货净额">#REF!</definedName>
    <definedName name="盈余公积_公益金bg" localSheetId="1" hidden="1">#REF!</definedName>
    <definedName name="盈余公积_公益金bg" localSheetId="2" hidden="1">#REF!</definedName>
    <definedName name="盈余公积_公益金bg" hidden="1">#REF!</definedName>
    <definedName name="盈余公积_公益金mx" localSheetId="1" hidden="1">#REF!</definedName>
    <definedName name="盈余公积_公益金mx" localSheetId="2" hidden="1">#REF!</definedName>
    <definedName name="盈余公积_公益金mx" hidden="1">#REF!</definedName>
    <definedName name="营业费用bg" localSheetId="1" hidden="1">#REF!</definedName>
    <definedName name="营业费用bg" localSheetId="2" hidden="1">#REF!</definedName>
    <definedName name="营业费用bg" hidden="1">#REF!</definedName>
    <definedName name="营业费用mx" localSheetId="1" hidden="1">#REF!</definedName>
    <definedName name="营业费用mx" localSheetId="2" hidden="1">#REF!</definedName>
    <definedName name="营业费用mx" hidden="1">#REF!</definedName>
    <definedName name="营业外收入bg" localSheetId="1" hidden="1">#REF!</definedName>
    <definedName name="营业外收入bg" localSheetId="2" hidden="1">#REF!</definedName>
    <definedName name="营业外收入bg" hidden="1">#REF!</definedName>
    <definedName name="营业外收入mx" localSheetId="1" hidden="1">#REF!</definedName>
    <definedName name="营业外收入mx" localSheetId="2" hidden="1">#REF!</definedName>
    <definedName name="营业外收入mx" hidden="1">#REF!</definedName>
    <definedName name="营业外支出bg" localSheetId="1" hidden="1">#REF!</definedName>
    <definedName name="营业外支出bg" localSheetId="2" hidden="1">#REF!</definedName>
    <definedName name="营业外支出bg" hidden="1">#REF!</definedName>
    <definedName name="营业外支出mx" localSheetId="1" hidden="1">#REF!</definedName>
    <definedName name="营业外支出mx" localSheetId="2" hidden="1">#REF!</definedName>
    <definedName name="营业外支出mx" hidden="1">#REF!</definedName>
    <definedName name="应付账款bg" localSheetId="1" hidden="1">#REF!</definedName>
    <definedName name="应付账款bg" localSheetId="2" hidden="1">#REF!</definedName>
    <definedName name="应付账款bg" hidden="1">#REF!</definedName>
    <definedName name="应付账款mx" localSheetId="1" hidden="1">#REF!</definedName>
    <definedName name="应付账款mx" localSheetId="2" hidden="1">#REF!</definedName>
    <definedName name="应付账款mx" hidden="1">#REF!</definedName>
    <definedName name="应收账款bg" localSheetId="1" hidden="1">#REF!</definedName>
    <definedName name="应收账款bg" localSheetId="2" hidden="1">#REF!</definedName>
    <definedName name="应收账款bg" hidden="1">#REF!</definedName>
    <definedName name="应收账款mx" localSheetId="1" hidden="1">#REF!</definedName>
    <definedName name="应收账款mx" localSheetId="2" hidden="1">#REF!</definedName>
    <definedName name="应收账款mx" hidden="1">#REF!</definedName>
    <definedName name="预收账款bg" localSheetId="1" hidden="1">#REF!</definedName>
    <definedName name="预收账款bg" localSheetId="2" hidden="1">#REF!</definedName>
    <definedName name="预收账款bg" hidden="1">#REF!</definedName>
    <definedName name="预收账款mx" localSheetId="1" hidden="1">#REF!</definedName>
    <definedName name="预收账款mx" localSheetId="2" hidden="1">#REF!</definedName>
    <definedName name="预收账款mx" hidden="1">#REF!</definedName>
    <definedName name="在建工程bg" localSheetId="1" hidden="1">#REF!</definedName>
    <definedName name="在建工程bg" localSheetId="2" hidden="1">#REF!</definedName>
    <definedName name="在建工程bg" hidden="1">#REF!</definedName>
    <definedName name="在建工程mx" localSheetId="1" hidden="1">#REF!</definedName>
    <definedName name="在建工程mx" localSheetId="2" hidden="1">#REF!</definedName>
    <definedName name="在建工程mx" hidden="1">#REF!</definedName>
    <definedName name="长沙阶段性担保" localSheetId="1" hidden="1">#REF!</definedName>
    <definedName name="长沙阶段性担保" localSheetId="2" hidden="1">#REF!</definedName>
    <definedName name="长沙阶段性担保" hidden="1">#REF!</definedName>
    <definedName name="主营业务成本bg" localSheetId="1" hidden="1">#REF!</definedName>
    <definedName name="主营业务成本bg" localSheetId="2" hidden="1">#REF!</definedName>
    <definedName name="主营业务成本bg" hidden="1">#REF!</definedName>
    <definedName name="主营业务成本mx" localSheetId="1" hidden="1">#REF!</definedName>
    <definedName name="主营业务成本mx" localSheetId="2" hidden="1">#REF!</definedName>
    <definedName name="主营业务成本mx" hidden="1">#REF!</definedName>
    <definedName name="主营业务收入bg" localSheetId="1" hidden="1">#REF!</definedName>
    <definedName name="主营业务收入bg" localSheetId="2" hidden="1">#REF!</definedName>
    <definedName name="主营业务收入bg" hidden="1">#REF!</definedName>
    <definedName name="主营业务收入mx" localSheetId="1" hidden="1">#REF!</definedName>
    <definedName name="主营业务收入mx" localSheetId="2" hidden="1">#REF!</definedName>
    <definedName name="主营业务收入mx" hidden="1">#REF!</definedName>
    <definedName name="主营业务税金及附加bg" localSheetId="1" hidden="1">#REF!</definedName>
    <definedName name="主营业务税金及附加bg" localSheetId="2" hidden="1">#REF!</definedName>
    <definedName name="主营业务税金及附加bg" hidden="1">#REF!</definedName>
    <definedName name="主营业务税金及附加mx" localSheetId="1" hidden="1">#REF!</definedName>
    <definedName name="主营业务税金及附加mx" localSheetId="2" hidden="1">#REF!</definedName>
    <definedName name="主营业务税金及附加m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S7" i="7"/>
  <c r="G7" i="7"/>
  <c r="G4" i="7"/>
  <c r="O24" i="6"/>
  <c r="N24" i="6"/>
  <c r="M24" i="6"/>
  <c r="L24" i="6"/>
  <c r="K24" i="6"/>
  <c r="J24" i="6"/>
  <c r="I24" i="6"/>
  <c r="H24" i="6"/>
  <c r="P8" i="5"/>
  <c r="P9" i="5"/>
  <c r="F7" i="5" l="1"/>
  <c r="F10" i="5" s="1"/>
  <c r="G7" i="5"/>
  <c r="G10" i="5" s="1"/>
  <c r="H7" i="5"/>
  <c r="H10" i="5" s="1"/>
  <c r="I7" i="5"/>
  <c r="I10" i="5" s="1"/>
  <c r="J7" i="5"/>
  <c r="J10" i="5" s="1"/>
  <c r="K7" i="5"/>
  <c r="K10" i="5" s="1"/>
  <c r="L7" i="5"/>
  <c r="L10" i="5" s="1"/>
  <c r="M7" i="5"/>
  <c r="M10" i="5" s="1"/>
  <c r="N7" i="5"/>
  <c r="N10" i="5" s="1"/>
  <c r="O7" i="5"/>
  <c r="O10" i="5" s="1"/>
  <c r="E7" i="5"/>
  <c r="E10" i="5" s="1"/>
  <c r="P17" i="5" l="1"/>
  <c r="P15" i="5"/>
  <c r="D15" i="5" s="1"/>
  <c r="L3" i="6" s="1"/>
  <c r="L4" i="6" s="1"/>
  <c r="L6" i="6" s="1"/>
  <c r="E2" i="8"/>
  <c r="D3" i="8"/>
  <c r="D4" i="8" s="1"/>
  <c r="D6" i="8" s="1"/>
  <c r="D9" i="8" s="1"/>
  <c r="C3" i="8"/>
  <c r="C4" i="8" s="1"/>
  <c r="C6" i="8" s="1"/>
  <c r="C9" i="8" s="1"/>
  <c r="B3" i="8"/>
  <c r="H7" i="6"/>
  <c r="J7" i="6"/>
  <c r="J11" i="6" s="1"/>
  <c r="K7" i="6"/>
  <c r="K11" i="6" s="1"/>
  <c r="L7" i="6"/>
  <c r="N7" i="6"/>
  <c r="O29" i="5"/>
  <c r="N29" i="5"/>
  <c r="M29" i="5"/>
  <c r="L29" i="5"/>
  <c r="K29" i="5"/>
  <c r="J29" i="5"/>
  <c r="I29" i="5"/>
  <c r="H29" i="5"/>
  <c r="G29" i="5"/>
  <c r="F29" i="5"/>
  <c r="E29" i="5"/>
  <c r="D29" i="5"/>
  <c r="O6" i="7"/>
  <c r="P6" i="7" s="1"/>
  <c r="Q6" i="7" s="1"/>
  <c r="R6" i="7" s="1"/>
  <c r="S6" i="7" s="1"/>
  <c r="T6" i="7" s="1"/>
  <c r="U6" i="7" s="1"/>
  <c r="V6" i="7" s="1"/>
  <c r="W6" i="7" s="1"/>
  <c r="X6" i="7" s="1"/>
  <c r="Y6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D20" i="3"/>
  <c r="E20" i="3" s="1"/>
  <c r="F20" i="3" s="1"/>
  <c r="C20" i="3"/>
  <c r="G20" i="3"/>
  <c r="H20" i="3" s="1"/>
  <c r="I20" i="3" s="1"/>
  <c r="J20" i="3" s="1"/>
  <c r="K20" i="3" s="1"/>
  <c r="L20" i="3" s="1"/>
  <c r="C19" i="3"/>
  <c r="E9" i="3"/>
  <c r="O12" i="3"/>
  <c r="O15" i="3"/>
  <c r="O16" i="3" s="1"/>
  <c r="C16" i="3" s="1"/>
  <c r="D16" i="3"/>
  <c r="E16" i="3"/>
  <c r="F16" i="3"/>
  <c r="G16" i="3"/>
  <c r="H16" i="3"/>
  <c r="I16" i="3"/>
  <c r="J16" i="3"/>
  <c r="K16" i="3"/>
  <c r="L16" i="3"/>
  <c r="M16" i="3"/>
  <c r="N16" i="3"/>
  <c r="D17" i="6"/>
  <c r="E23" i="6"/>
  <c r="F23" i="6"/>
  <c r="G23" i="6"/>
  <c r="H23" i="6"/>
  <c r="I23" i="6"/>
  <c r="J23" i="6"/>
  <c r="K23" i="6"/>
  <c r="L23" i="6"/>
  <c r="M23" i="6"/>
  <c r="N23" i="6"/>
  <c r="O23" i="6"/>
  <c r="D23" i="6"/>
  <c r="E21" i="6"/>
  <c r="F21" i="6"/>
  <c r="G21" i="6"/>
  <c r="H21" i="6"/>
  <c r="I21" i="6"/>
  <c r="J21" i="6"/>
  <c r="K21" i="6"/>
  <c r="L21" i="6"/>
  <c r="M21" i="6"/>
  <c r="N21" i="6"/>
  <c r="O21" i="6"/>
  <c r="D21" i="6"/>
  <c r="E19" i="6"/>
  <c r="F19" i="6"/>
  <c r="G19" i="6"/>
  <c r="H19" i="6"/>
  <c r="I19" i="6"/>
  <c r="J19" i="6"/>
  <c r="K19" i="6"/>
  <c r="L19" i="6"/>
  <c r="M19" i="6"/>
  <c r="N19" i="6"/>
  <c r="O19" i="6"/>
  <c r="D19" i="6"/>
  <c r="E17" i="6"/>
  <c r="F17" i="6"/>
  <c r="G17" i="6"/>
  <c r="H17" i="6"/>
  <c r="I17" i="6"/>
  <c r="J17" i="6"/>
  <c r="K17" i="6"/>
  <c r="L17" i="6"/>
  <c r="M17" i="6"/>
  <c r="N17" i="6"/>
  <c r="O17" i="6"/>
  <c r="C7" i="6"/>
  <c r="E7" i="6"/>
  <c r="F7" i="6"/>
  <c r="G7" i="6"/>
  <c r="G11" i="6" s="1"/>
  <c r="I7" i="6"/>
  <c r="I11" i="6" s="1"/>
  <c r="M7" i="6"/>
  <c r="M11" i="6" s="1"/>
  <c r="D7" i="6"/>
  <c r="C4" i="7" s="1"/>
  <c r="E19" i="5"/>
  <c r="H11" i="6"/>
  <c r="E11" i="6"/>
  <c r="N11" i="6"/>
  <c r="P6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13" i="2"/>
  <c r="D13" i="2"/>
  <c r="D19" i="3"/>
  <c r="I54" i="2"/>
  <c r="M54" i="2"/>
  <c r="C21" i="3"/>
  <c r="C22" i="3"/>
  <c r="E13" i="2"/>
  <c r="M13" i="2"/>
  <c r="O18" i="2"/>
  <c r="I13" i="2"/>
  <c r="C13" i="2"/>
  <c r="K13" i="2"/>
  <c r="G13" i="2"/>
  <c r="J13" i="2"/>
  <c r="F13" i="2"/>
  <c r="L13" i="2"/>
  <c r="H13" i="2"/>
  <c r="N50" i="4"/>
  <c r="M50" i="4"/>
  <c r="L50" i="4"/>
  <c r="K50" i="4"/>
  <c r="J50" i="4"/>
  <c r="I50" i="4"/>
  <c r="H50" i="4"/>
  <c r="G50" i="4"/>
  <c r="F50" i="4"/>
  <c r="E50" i="4"/>
  <c r="D50" i="4"/>
  <c r="C50" i="4"/>
  <c r="N48" i="4"/>
  <c r="M48" i="4"/>
  <c r="L48" i="4"/>
  <c r="K48" i="4"/>
  <c r="J48" i="4"/>
  <c r="I48" i="4"/>
  <c r="H48" i="4"/>
  <c r="G48" i="4"/>
  <c r="F48" i="4"/>
  <c r="E48" i="4"/>
  <c r="D48" i="4"/>
  <c r="C48" i="4"/>
  <c r="N46" i="4"/>
  <c r="M46" i="4"/>
  <c r="L46" i="4"/>
  <c r="K46" i="4"/>
  <c r="J46" i="4"/>
  <c r="I46" i="4"/>
  <c r="H46" i="4"/>
  <c r="G46" i="4"/>
  <c r="F46" i="4"/>
  <c r="E46" i="4"/>
  <c r="D46" i="4"/>
  <c r="C46" i="4"/>
  <c r="N44" i="4"/>
  <c r="M44" i="4"/>
  <c r="L44" i="4"/>
  <c r="K44" i="4"/>
  <c r="J44" i="4"/>
  <c r="I44" i="4"/>
  <c r="H44" i="4"/>
  <c r="G44" i="4"/>
  <c r="F44" i="4"/>
  <c r="E44" i="4"/>
  <c r="D44" i="4"/>
  <c r="C44" i="4"/>
  <c r="N42" i="4"/>
  <c r="M42" i="4"/>
  <c r="L42" i="4"/>
  <c r="K42" i="4"/>
  <c r="J42" i="4"/>
  <c r="I42" i="4"/>
  <c r="H42" i="4"/>
  <c r="G42" i="4"/>
  <c r="F42" i="4"/>
  <c r="E42" i="4"/>
  <c r="D42" i="4"/>
  <c r="C42" i="4"/>
  <c r="O36" i="4"/>
  <c r="N33" i="4"/>
  <c r="M33" i="4"/>
  <c r="L33" i="4"/>
  <c r="K33" i="4"/>
  <c r="J33" i="4"/>
  <c r="I33" i="4"/>
  <c r="H33" i="4"/>
  <c r="G33" i="4"/>
  <c r="F33" i="4"/>
  <c r="E33" i="4"/>
  <c r="D33" i="4"/>
  <c r="C33" i="4"/>
  <c r="N6" i="4"/>
  <c r="M6" i="4"/>
  <c r="L6" i="4"/>
  <c r="K6" i="4"/>
  <c r="J6" i="4"/>
  <c r="I6" i="4"/>
  <c r="H6" i="4"/>
  <c r="G6" i="4"/>
  <c r="F6" i="4"/>
  <c r="E6" i="4"/>
  <c r="D6" i="4"/>
  <c r="C6" i="4"/>
  <c r="D4" i="4"/>
  <c r="D5" i="4" s="1"/>
  <c r="D7" i="4" s="1"/>
  <c r="N3" i="4"/>
  <c r="O3" i="4"/>
  <c r="E4" i="4"/>
  <c r="C5" i="4"/>
  <c r="C7" i="4" s="1"/>
  <c r="D8" i="4"/>
  <c r="D32" i="4"/>
  <c r="N53" i="2"/>
  <c r="M53" i="2"/>
  <c r="L53" i="2"/>
  <c r="K53" i="2"/>
  <c r="J53" i="2"/>
  <c r="I53" i="2"/>
  <c r="H53" i="2"/>
  <c r="G53" i="2"/>
  <c r="F53" i="2"/>
  <c r="E53" i="2"/>
  <c r="D53" i="2"/>
  <c r="C53" i="2"/>
  <c r="N51" i="2"/>
  <c r="M51" i="2"/>
  <c r="L51" i="2"/>
  <c r="K51" i="2"/>
  <c r="J51" i="2"/>
  <c r="I51" i="2"/>
  <c r="H51" i="2"/>
  <c r="G51" i="2"/>
  <c r="F51" i="2"/>
  <c r="E51" i="2"/>
  <c r="D51" i="2"/>
  <c r="C51" i="2"/>
  <c r="N49" i="2"/>
  <c r="M49" i="2"/>
  <c r="L49" i="2"/>
  <c r="K49" i="2"/>
  <c r="J49" i="2"/>
  <c r="I49" i="2"/>
  <c r="H49" i="2"/>
  <c r="G49" i="2"/>
  <c r="F49" i="2"/>
  <c r="E49" i="2"/>
  <c r="D49" i="2"/>
  <c r="C49" i="2"/>
  <c r="D47" i="2"/>
  <c r="E47" i="2"/>
  <c r="F47" i="2"/>
  <c r="G47" i="2"/>
  <c r="H47" i="2"/>
  <c r="I47" i="2"/>
  <c r="J47" i="2"/>
  <c r="K47" i="2"/>
  <c r="L47" i="2"/>
  <c r="M47" i="2"/>
  <c r="N47" i="2"/>
  <c r="C47" i="2"/>
  <c r="O41" i="2"/>
  <c r="D38" i="2"/>
  <c r="E38" i="2"/>
  <c r="F38" i="2"/>
  <c r="G38" i="2"/>
  <c r="H38" i="2"/>
  <c r="I38" i="2"/>
  <c r="J38" i="2"/>
  <c r="K38" i="2"/>
  <c r="L38" i="2"/>
  <c r="M38" i="2"/>
  <c r="N38" i="2"/>
  <c r="C38" i="2"/>
  <c r="N6" i="2"/>
  <c r="N13" i="2" s="1"/>
  <c r="O6" i="2"/>
  <c r="D7" i="2"/>
  <c r="D10" i="2"/>
  <c r="D12" i="2"/>
  <c r="C10" i="2"/>
  <c r="C12" i="2"/>
  <c r="E7" i="2"/>
  <c r="F7" i="2" s="1"/>
  <c r="G7" i="2" s="1"/>
  <c r="E10" i="2"/>
  <c r="C20" i="1"/>
  <c r="F10" i="2"/>
  <c r="F12" i="2" s="1"/>
  <c r="F11" i="2"/>
  <c r="C18" i="1"/>
  <c r="C21" i="1"/>
  <c r="G27" i="1"/>
  <c r="E20" i="1"/>
  <c r="D20" i="1"/>
  <c r="F16" i="1"/>
  <c r="F18" i="1"/>
  <c r="E7" i="1"/>
  <c r="E4" i="1"/>
  <c r="E5" i="1"/>
  <c r="E11" i="1"/>
  <c r="D18" i="1"/>
  <c r="E18" i="1"/>
  <c r="G16" i="1"/>
  <c r="C22" i="1"/>
  <c r="M20" i="3"/>
  <c r="N20" i="3" s="1"/>
  <c r="I3" i="6" l="1"/>
  <c r="H3" i="6"/>
  <c r="H4" i="6" s="1"/>
  <c r="L8" i="6"/>
  <c r="D11" i="6"/>
  <c r="P7" i="5"/>
  <c r="P10" i="5" s="1"/>
  <c r="E3" i="6"/>
  <c r="E24" i="6" s="1"/>
  <c r="J3" i="6"/>
  <c r="J9" i="6" s="1"/>
  <c r="K3" i="6"/>
  <c r="K4" i="6" s="1"/>
  <c r="K6" i="6" s="1"/>
  <c r="K5" i="6" s="1"/>
  <c r="D3" i="6"/>
  <c r="G3" i="6"/>
  <c r="G4" i="6" s="1"/>
  <c r="G6" i="6" s="1"/>
  <c r="G5" i="6" s="1"/>
  <c r="C32" i="1"/>
  <c r="C36" i="1"/>
  <c r="C40" i="1"/>
  <c r="C38" i="1"/>
  <c r="C34" i="1"/>
  <c r="I4" i="6"/>
  <c r="I9" i="6"/>
  <c r="C25" i="1"/>
  <c r="C7" i="7"/>
  <c r="D4" i="7"/>
  <c r="G32" i="2"/>
  <c r="L54" i="2"/>
  <c r="I32" i="2"/>
  <c r="L32" i="2"/>
  <c r="E54" i="2"/>
  <c r="D54" i="2"/>
  <c r="M32" i="2"/>
  <c r="C54" i="2"/>
  <c r="F32" i="2"/>
  <c r="H54" i="2"/>
  <c r="J54" i="2"/>
  <c r="H32" i="2"/>
  <c r="C32" i="2"/>
  <c r="F54" i="2"/>
  <c r="N54" i="2"/>
  <c r="J32" i="2"/>
  <c r="N32" i="2"/>
  <c r="E32" i="2"/>
  <c r="G54" i="2"/>
  <c r="K54" i="2"/>
  <c r="K32" i="2"/>
  <c r="D32" i="2"/>
  <c r="B4" i="8"/>
  <c r="E3" i="8"/>
  <c r="M30" i="5"/>
  <c r="C26" i="1"/>
  <c r="C23" i="1"/>
  <c r="E21" i="1"/>
  <c r="E22" i="1"/>
  <c r="G18" i="1"/>
  <c r="D21" i="1"/>
  <c r="O40" i="2"/>
  <c r="C8" i="4"/>
  <c r="F14" i="2"/>
  <c r="F21" i="1"/>
  <c r="E14" i="2"/>
  <c r="E12" i="2"/>
  <c r="E11" i="2" s="1"/>
  <c r="E5" i="4"/>
  <c r="E7" i="4" s="1"/>
  <c r="E8" i="4" s="1"/>
  <c r="F4" i="4"/>
  <c r="D11" i="2"/>
  <c r="D14" i="2"/>
  <c r="E4" i="6"/>
  <c r="G10" i="2"/>
  <c r="H7" i="2"/>
  <c r="C11" i="2"/>
  <c r="C14" i="2"/>
  <c r="H6" i="6"/>
  <c r="H5" i="6" s="1"/>
  <c r="H9" i="6"/>
  <c r="D9" i="4"/>
  <c r="D10" i="4"/>
  <c r="G24" i="6"/>
  <c r="E19" i="3"/>
  <c r="D21" i="3"/>
  <c r="F11" i="6"/>
  <c r="E9" i="6"/>
  <c r="O20" i="3"/>
  <c r="P20" i="3" s="1"/>
  <c r="Q20" i="3" s="1"/>
  <c r="R20" i="3"/>
  <c r="S20" i="3" s="1"/>
  <c r="T20" i="3" s="1"/>
  <c r="U20" i="3" s="1"/>
  <c r="V20" i="3" s="1"/>
  <c r="W20" i="3" s="1"/>
  <c r="X20" i="3" s="1"/>
  <c r="Y20" i="3" s="1"/>
  <c r="Z20" i="3" s="1"/>
  <c r="AA20" i="3" s="1"/>
  <c r="L9" i="6"/>
  <c r="L10" i="6" s="1"/>
  <c r="L11" i="6"/>
  <c r="L5" i="6"/>
  <c r="F3" i="6"/>
  <c r="N3" i="6"/>
  <c r="N9" i="6" s="1"/>
  <c r="O3" i="6"/>
  <c r="M3" i="6"/>
  <c r="D22" i="3"/>
  <c r="G9" i="6"/>
  <c r="H8" i="6"/>
  <c r="D9" i="6"/>
  <c r="N5" i="7" l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Z6" i="7"/>
  <c r="AA6" i="7" s="1"/>
  <c r="C15" i="7" s="1"/>
  <c r="G8" i="6"/>
  <c r="H30" i="5" s="1"/>
  <c r="P29" i="5"/>
  <c r="O7" i="6"/>
  <c r="O11" i="6" s="1"/>
  <c r="C11" i="6" s="1"/>
  <c r="J4" i="6"/>
  <c r="K8" i="6"/>
  <c r="G10" i="6"/>
  <c r="G12" i="6" s="1"/>
  <c r="G13" i="6" s="1"/>
  <c r="H32" i="5" s="1"/>
  <c r="K9" i="6"/>
  <c r="D24" i="6"/>
  <c r="D4" i="6"/>
  <c r="G20" i="6"/>
  <c r="I30" i="5"/>
  <c r="H10" i="6"/>
  <c r="H12" i="6" s="1"/>
  <c r="H10" i="2"/>
  <c r="I7" i="2"/>
  <c r="G4" i="4"/>
  <c r="F5" i="4"/>
  <c r="F7" i="4" s="1"/>
  <c r="F8" i="4" s="1"/>
  <c r="F36" i="2"/>
  <c r="E23" i="1"/>
  <c r="E26" i="1"/>
  <c r="E4" i="8"/>
  <c r="B6" i="8"/>
  <c r="O54" i="2"/>
  <c r="D7" i="7"/>
  <c r="E4" i="7"/>
  <c r="M4" i="6"/>
  <c r="G12" i="2"/>
  <c r="G11" i="2" s="1"/>
  <c r="G14" i="2"/>
  <c r="F24" i="6"/>
  <c r="F4" i="6"/>
  <c r="F19" i="3"/>
  <c r="E21" i="3"/>
  <c r="C36" i="2"/>
  <c r="F26" i="1"/>
  <c r="F23" i="1"/>
  <c r="D23" i="1"/>
  <c r="G23" i="1" s="1"/>
  <c r="D26" i="1"/>
  <c r="G26" i="1" s="1"/>
  <c r="C28" i="1"/>
  <c r="F9" i="6"/>
  <c r="D12" i="4"/>
  <c r="D31" i="4"/>
  <c r="D36" i="2"/>
  <c r="F22" i="1"/>
  <c r="C9" i="4"/>
  <c r="C10" i="4"/>
  <c r="C32" i="4"/>
  <c r="L12" i="6"/>
  <c r="L25" i="6" s="1"/>
  <c r="M9" i="6"/>
  <c r="D22" i="1"/>
  <c r="E38" i="1"/>
  <c r="E32" i="1"/>
  <c r="E36" i="1"/>
  <c r="E34" i="1"/>
  <c r="E40" i="1"/>
  <c r="E10" i="4"/>
  <c r="E9" i="4"/>
  <c r="E32" i="4"/>
  <c r="G21" i="1"/>
  <c r="E37" i="5"/>
  <c r="C8" i="7"/>
  <c r="D8" i="7"/>
  <c r="F38" i="5" s="1"/>
  <c r="I8" i="6"/>
  <c r="I6" i="6"/>
  <c r="I5" i="6" s="1"/>
  <c r="O4" i="6"/>
  <c r="C30" i="1"/>
  <c r="N4" i="6"/>
  <c r="E22" i="3"/>
  <c r="G25" i="6"/>
  <c r="E6" i="6"/>
  <c r="E5" i="6" s="1"/>
  <c r="E8" i="6"/>
  <c r="E36" i="2"/>
  <c r="O32" i="2"/>
  <c r="H31" i="5" l="1"/>
  <c r="G16" i="6"/>
  <c r="G22" i="6"/>
  <c r="C24" i="6"/>
  <c r="O9" i="6"/>
  <c r="C9" i="6" s="1"/>
  <c r="J6" i="6"/>
  <c r="J5" i="6" s="1"/>
  <c r="J8" i="6"/>
  <c r="G18" i="6"/>
  <c r="D8" i="6"/>
  <c r="D6" i="6"/>
  <c r="D5" i="6" s="1"/>
  <c r="K10" i="6"/>
  <c r="K12" i="6" s="1"/>
  <c r="L30" i="5"/>
  <c r="H18" i="6"/>
  <c r="H20" i="6"/>
  <c r="H13" i="6"/>
  <c r="I32" i="5" s="1"/>
  <c r="H22" i="6"/>
  <c r="H16" i="6"/>
  <c r="I31" i="5"/>
  <c r="H25" i="6"/>
  <c r="D34" i="4"/>
  <c r="G36" i="2"/>
  <c r="O6" i="6"/>
  <c r="O5" i="6" s="1"/>
  <c r="O8" i="6"/>
  <c r="E30" i="1"/>
  <c r="E31" i="1" s="1"/>
  <c r="D32" i="1"/>
  <c r="D34" i="1"/>
  <c r="G34" i="1" s="1"/>
  <c r="D40" i="1"/>
  <c r="D25" i="1"/>
  <c r="D38" i="1"/>
  <c r="D36" i="1"/>
  <c r="G36" i="1" s="1"/>
  <c r="G22" i="1"/>
  <c r="F10" i="4"/>
  <c r="F32" i="4"/>
  <c r="F9" i="4"/>
  <c r="E25" i="1"/>
  <c r="E28" i="1" s="1"/>
  <c r="B9" i="8"/>
  <c r="E9" i="8" s="1"/>
  <c r="E6" i="8"/>
  <c r="G5" i="4"/>
  <c r="G7" i="4" s="1"/>
  <c r="G8" i="4" s="1"/>
  <c r="H4" i="4"/>
  <c r="N6" i="6"/>
  <c r="N5" i="6" s="1"/>
  <c r="N8" i="6"/>
  <c r="C12" i="4"/>
  <c r="C31" i="4"/>
  <c r="F22" i="3"/>
  <c r="C25" i="3"/>
  <c r="M6" i="6"/>
  <c r="M5" i="6" s="1"/>
  <c r="M8" i="6"/>
  <c r="I10" i="2"/>
  <c r="J7" i="2"/>
  <c r="J30" i="5"/>
  <c r="I10" i="6"/>
  <c r="I12" i="6" s="1"/>
  <c r="F40" i="1"/>
  <c r="F36" i="1"/>
  <c r="F32" i="1"/>
  <c r="F25" i="1"/>
  <c r="F28" i="1" s="1"/>
  <c r="F38" i="1"/>
  <c r="F34" i="1"/>
  <c r="C42" i="1"/>
  <c r="C29" i="1"/>
  <c r="G19" i="3"/>
  <c r="F21" i="3"/>
  <c r="H12" i="2"/>
  <c r="H11" i="2" s="1"/>
  <c r="H14" i="2"/>
  <c r="F6" i="6"/>
  <c r="F5" i="6" s="1"/>
  <c r="F8" i="6"/>
  <c r="E7" i="7"/>
  <c r="E8" i="7" s="1"/>
  <c r="F4" i="7"/>
  <c r="F30" i="5"/>
  <c r="E10" i="6"/>
  <c r="E12" i="6" s="1"/>
  <c r="C31" i="1"/>
  <c r="E38" i="5"/>
  <c r="E31" i="4"/>
  <c r="E12" i="4"/>
  <c r="F37" i="5"/>
  <c r="M31" i="5"/>
  <c r="L20" i="6"/>
  <c r="L16" i="6"/>
  <c r="L13" i="6"/>
  <c r="M32" i="5" s="1"/>
  <c r="L22" i="6"/>
  <c r="L18" i="6"/>
  <c r="G14" i="6" l="1"/>
  <c r="G26" i="6" s="1"/>
  <c r="K20" i="6"/>
  <c r="K22" i="6"/>
  <c r="K13" i="6"/>
  <c r="L32" i="5" s="1"/>
  <c r="K16" i="6"/>
  <c r="K18" i="6"/>
  <c r="L31" i="5"/>
  <c r="K30" i="5"/>
  <c r="J10" i="6"/>
  <c r="J12" i="6" s="1"/>
  <c r="D10" i="6"/>
  <c r="D12" i="6" s="1"/>
  <c r="D20" i="6" s="1"/>
  <c r="E30" i="5"/>
  <c r="K25" i="6"/>
  <c r="L14" i="6"/>
  <c r="H14" i="6"/>
  <c r="H15" i="6" s="1"/>
  <c r="G15" i="6"/>
  <c r="F29" i="1"/>
  <c r="F42" i="1"/>
  <c r="F43" i="1" s="1"/>
  <c r="G38" i="5"/>
  <c r="E42" i="1"/>
  <c r="E43" i="1" s="1"/>
  <c r="E29" i="1"/>
  <c r="E22" i="6"/>
  <c r="E13" i="6"/>
  <c r="F32" i="5" s="1"/>
  <c r="E16" i="6"/>
  <c r="E18" i="6"/>
  <c r="E20" i="6"/>
  <c r="F31" i="5"/>
  <c r="E25" i="6"/>
  <c r="O30" i="5"/>
  <c r="N10" i="6"/>
  <c r="N12" i="6" s="1"/>
  <c r="P30" i="5"/>
  <c r="O10" i="6"/>
  <c r="O12" i="6" s="1"/>
  <c r="G21" i="3"/>
  <c r="H19" i="3"/>
  <c r="F30" i="1"/>
  <c r="F31" i="1" s="1"/>
  <c r="G38" i="1"/>
  <c r="F7" i="7"/>
  <c r="F8" i="7" s="1"/>
  <c r="I4" i="4"/>
  <c r="H5" i="4"/>
  <c r="H7" i="4" s="1"/>
  <c r="H8" i="4" s="1"/>
  <c r="G25" i="1"/>
  <c r="E34" i="4"/>
  <c r="G37" i="5"/>
  <c r="C11" i="7"/>
  <c r="C43" i="1"/>
  <c r="G32" i="4"/>
  <c r="G9" i="4"/>
  <c r="G10" i="4"/>
  <c r="F12" i="4"/>
  <c r="F31" i="4"/>
  <c r="G40" i="1"/>
  <c r="F10" i="6"/>
  <c r="F12" i="6" s="1"/>
  <c r="G30" i="5"/>
  <c r="C8" i="6"/>
  <c r="J31" i="5"/>
  <c r="I18" i="6"/>
  <c r="I13" i="6"/>
  <c r="J32" i="5" s="1"/>
  <c r="I20" i="6"/>
  <c r="I16" i="6"/>
  <c r="I22" i="6"/>
  <c r="I25" i="6"/>
  <c r="J10" i="2"/>
  <c r="K7" i="2"/>
  <c r="E31" i="5"/>
  <c r="D18" i="6"/>
  <c r="D22" i="6"/>
  <c r="D25" i="6"/>
  <c r="I12" i="2"/>
  <c r="I11" i="2" s="1"/>
  <c r="I14" i="2"/>
  <c r="C34" i="4"/>
  <c r="D30" i="1"/>
  <c r="G32" i="1"/>
  <c r="H36" i="2"/>
  <c r="M10" i="6"/>
  <c r="M12" i="6" s="1"/>
  <c r="N30" i="5"/>
  <c r="D28" i="1"/>
  <c r="D13" i="6" l="1"/>
  <c r="E32" i="5" s="1"/>
  <c r="D16" i="6"/>
  <c r="K14" i="6"/>
  <c r="K31" i="5"/>
  <c r="J20" i="6"/>
  <c r="J13" i="6"/>
  <c r="K32" i="5" s="1"/>
  <c r="J16" i="6"/>
  <c r="J22" i="6"/>
  <c r="J18" i="6"/>
  <c r="J25" i="6"/>
  <c r="H26" i="6"/>
  <c r="H27" i="6" s="1"/>
  <c r="I34" i="5" s="1"/>
  <c r="G27" i="6"/>
  <c r="H34" i="5" s="1"/>
  <c r="H33" i="5"/>
  <c r="C10" i="6"/>
  <c r="C12" i="6" s="1"/>
  <c r="L15" i="6"/>
  <c r="L26" i="6"/>
  <c r="F18" i="6"/>
  <c r="F22" i="6"/>
  <c r="F16" i="6"/>
  <c r="F13" i="6"/>
  <c r="G32" i="5" s="1"/>
  <c r="F20" i="6"/>
  <c r="G31" i="5"/>
  <c r="F25" i="6"/>
  <c r="O16" i="6"/>
  <c r="P31" i="5"/>
  <c r="O22" i="6"/>
  <c r="O20" i="6"/>
  <c r="O18" i="6"/>
  <c r="O13" i="6"/>
  <c r="P32" i="5" s="1"/>
  <c r="O25" i="6"/>
  <c r="H38" i="5"/>
  <c r="J4" i="4"/>
  <c r="I5" i="4"/>
  <c r="I7" i="4" s="1"/>
  <c r="I8" i="4" s="1"/>
  <c r="N16" i="6"/>
  <c r="N22" i="6"/>
  <c r="N20" i="6"/>
  <c r="O31" i="5"/>
  <c r="N18" i="6"/>
  <c r="N13" i="6"/>
  <c r="O32" i="5" s="1"/>
  <c r="N25" i="6"/>
  <c r="D31" i="1"/>
  <c r="G30" i="1"/>
  <c r="G31" i="1" s="1"/>
  <c r="D30" i="5"/>
  <c r="G22" i="3"/>
  <c r="I14" i="6"/>
  <c r="G12" i="4"/>
  <c r="G31" i="4"/>
  <c r="I36" i="2"/>
  <c r="H10" i="4"/>
  <c r="H9" i="4"/>
  <c r="H32" i="4"/>
  <c r="I19" i="3"/>
  <c r="H21" i="3"/>
  <c r="H22" i="3"/>
  <c r="D42" i="1"/>
  <c r="D29" i="1"/>
  <c r="G28" i="1"/>
  <c r="G29" i="1" s="1"/>
  <c r="F34" i="4"/>
  <c r="G8" i="7"/>
  <c r="I38" i="5" s="1"/>
  <c r="H4" i="7"/>
  <c r="K10" i="2"/>
  <c r="L7" i="2"/>
  <c r="H37" i="5"/>
  <c r="M18" i="6"/>
  <c r="M13" i="6"/>
  <c r="N32" i="5" s="1"/>
  <c r="M16" i="6"/>
  <c r="N31" i="5"/>
  <c r="M22" i="6"/>
  <c r="M20" i="6"/>
  <c r="M25" i="6"/>
  <c r="D14" i="6"/>
  <c r="J14" i="2"/>
  <c r="J12" i="2"/>
  <c r="J11" i="2" s="1"/>
  <c r="E14" i="6"/>
  <c r="C22" i="6" l="1"/>
  <c r="C23" i="6" s="1"/>
  <c r="K15" i="6"/>
  <c r="K26" i="6"/>
  <c r="J14" i="6"/>
  <c r="C16" i="6"/>
  <c r="I33" i="5"/>
  <c r="C18" i="6"/>
  <c r="C19" i="6" s="1"/>
  <c r="C20" i="6"/>
  <c r="C21" i="6" s="1"/>
  <c r="M33" i="5"/>
  <c r="L27" i="6"/>
  <c r="M34" i="5" s="1"/>
  <c r="J36" i="2"/>
  <c r="G34" i="4"/>
  <c r="D15" i="6"/>
  <c r="D26" i="6"/>
  <c r="I4" i="7"/>
  <c r="H7" i="7"/>
  <c r="H8" i="7" s="1"/>
  <c r="J38" i="5" s="1"/>
  <c r="D43" i="1"/>
  <c r="G42" i="1"/>
  <c r="G43" i="1" s="1"/>
  <c r="D31" i="5"/>
  <c r="C13" i="6"/>
  <c r="D32" i="5" s="1"/>
  <c r="C25" i="6"/>
  <c r="I37" i="5"/>
  <c r="E15" i="6"/>
  <c r="E26" i="6"/>
  <c r="I15" i="6"/>
  <c r="I26" i="6"/>
  <c r="F14" i="6"/>
  <c r="I21" i="3"/>
  <c r="J19" i="3"/>
  <c r="N14" i="6"/>
  <c r="O14" i="6"/>
  <c r="M7" i="2"/>
  <c r="L10" i="2"/>
  <c r="H31" i="4"/>
  <c r="H12" i="4"/>
  <c r="I32" i="4"/>
  <c r="I9" i="4"/>
  <c r="I10" i="4"/>
  <c r="M14" i="6"/>
  <c r="K12" i="2"/>
  <c r="K11" i="2" s="1"/>
  <c r="K14" i="2"/>
  <c r="J5" i="4"/>
  <c r="J7" i="4" s="1"/>
  <c r="J8" i="4" s="1"/>
  <c r="K4" i="4"/>
  <c r="L33" i="5" l="1"/>
  <c r="K27" i="6"/>
  <c r="L34" i="5" s="1"/>
  <c r="J15" i="6"/>
  <c r="J26" i="6"/>
  <c r="C14" i="6"/>
  <c r="C15" i="6" s="1"/>
  <c r="N7" i="2"/>
  <c r="N10" i="2" s="1"/>
  <c r="M10" i="2"/>
  <c r="J21" i="3"/>
  <c r="K19" i="3"/>
  <c r="M15" i="6"/>
  <c r="M26" i="6"/>
  <c r="H34" i="4"/>
  <c r="J22" i="3"/>
  <c r="L12" i="2"/>
  <c r="L11" i="2" s="1"/>
  <c r="L14" i="2"/>
  <c r="F15" i="6"/>
  <c r="F26" i="6"/>
  <c r="I31" i="4"/>
  <c r="I12" i="4"/>
  <c r="O15" i="6"/>
  <c r="O26" i="6"/>
  <c r="I27" i="6"/>
  <c r="J34" i="5" s="1"/>
  <c r="J33" i="5"/>
  <c r="L4" i="4"/>
  <c r="K5" i="4"/>
  <c r="K7" i="4" s="1"/>
  <c r="K8" i="4" s="1"/>
  <c r="N15" i="6"/>
  <c r="N26" i="6"/>
  <c r="J37" i="5"/>
  <c r="J10" i="4"/>
  <c r="J32" i="4"/>
  <c r="J9" i="4"/>
  <c r="I22" i="3"/>
  <c r="J4" i="7"/>
  <c r="I7" i="7"/>
  <c r="K36" i="2"/>
  <c r="F33" i="5"/>
  <c r="E27" i="6"/>
  <c r="F34" i="5" s="1"/>
  <c r="E33" i="5"/>
  <c r="D27" i="6"/>
  <c r="E34" i="5" s="1"/>
  <c r="K33" i="5" l="1"/>
  <c r="J27" i="6"/>
  <c r="K34" i="5" s="1"/>
  <c r="C26" i="6"/>
  <c r="C27" i="6" s="1"/>
  <c r="D34" i="5" s="1"/>
  <c r="K37" i="5"/>
  <c r="G33" i="5"/>
  <c r="F27" i="6"/>
  <c r="G34" i="5" s="1"/>
  <c r="M14" i="2"/>
  <c r="M12" i="2"/>
  <c r="M11" i="2" s="1"/>
  <c r="J7" i="7"/>
  <c r="J8" i="7" s="1"/>
  <c r="L38" i="5" s="1"/>
  <c r="K4" i="7"/>
  <c r="I8" i="7"/>
  <c r="K38" i="5" s="1"/>
  <c r="P33" i="5"/>
  <c r="O27" i="6"/>
  <c r="P34" i="5" s="1"/>
  <c r="N12" i="2"/>
  <c r="N11" i="2" s="1"/>
  <c r="N14" i="2"/>
  <c r="L36" i="2"/>
  <c r="O14" i="2"/>
  <c r="O33" i="5"/>
  <c r="N27" i="6"/>
  <c r="O34" i="5" s="1"/>
  <c r="M27" i="6"/>
  <c r="N34" i="5" s="1"/>
  <c r="N33" i="5"/>
  <c r="J12" i="4"/>
  <c r="J31" i="4"/>
  <c r="K9" i="4"/>
  <c r="K10" i="4"/>
  <c r="K32" i="4"/>
  <c r="I34" i="4"/>
  <c r="L19" i="3"/>
  <c r="K21" i="3"/>
  <c r="L5" i="4"/>
  <c r="L7" i="4" s="1"/>
  <c r="L8" i="4" s="1"/>
  <c r="M4" i="4"/>
  <c r="D33" i="5" l="1"/>
  <c r="L32" i="4"/>
  <c r="L9" i="4"/>
  <c r="L10" i="4"/>
  <c r="K12" i="4"/>
  <c r="K31" i="4"/>
  <c r="L21" i="3"/>
  <c r="M19" i="3"/>
  <c r="O36" i="2"/>
  <c r="D18" i="2"/>
  <c r="E18" i="2"/>
  <c r="F18" i="2"/>
  <c r="C18" i="2"/>
  <c r="G18" i="2"/>
  <c r="H18" i="2"/>
  <c r="I18" i="2"/>
  <c r="J18" i="2"/>
  <c r="K18" i="2"/>
  <c r="J34" i="4"/>
  <c r="L18" i="2"/>
  <c r="K7" i="7"/>
  <c r="K8" i="7" s="1"/>
  <c r="M38" i="5" s="1"/>
  <c r="L4" i="7"/>
  <c r="L37" i="5"/>
  <c r="K22" i="3"/>
  <c r="M5" i="4"/>
  <c r="M7" i="4" s="1"/>
  <c r="M8" i="4" s="1"/>
  <c r="N4" i="4"/>
  <c r="N5" i="4" s="1"/>
  <c r="N7" i="4" s="1"/>
  <c r="N8" i="4" s="1"/>
  <c r="N36" i="2"/>
  <c r="N18" i="2"/>
  <c r="M36" i="2"/>
  <c r="M18" i="2"/>
  <c r="D40" i="2" l="1"/>
  <c r="D19" i="2"/>
  <c r="D41" i="2" s="1"/>
  <c r="M10" i="4"/>
  <c r="M9" i="4"/>
  <c r="M32" i="4"/>
  <c r="L31" i="4"/>
  <c r="L12" i="4"/>
  <c r="K19" i="2"/>
  <c r="K41" i="2" s="1"/>
  <c r="K40" i="2"/>
  <c r="M40" i="2"/>
  <c r="M19" i="2"/>
  <c r="M41" i="2" s="1"/>
  <c r="N10" i="4"/>
  <c r="O10" i="4" s="1"/>
  <c r="N9" i="4"/>
  <c r="N32" i="4"/>
  <c r="J19" i="2"/>
  <c r="J41" i="2" s="1"/>
  <c r="J40" i="2"/>
  <c r="M4" i="7"/>
  <c r="L7" i="7"/>
  <c r="M37" i="5"/>
  <c r="N40" i="2"/>
  <c r="N19" i="2"/>
  <c r="N41" i="2" s="1"/>
  <c r="F40" i="2"/>
  <c r="F19" i="2"/>
  <c r="F41" i="2" s="1"/>
  <c r="O8" i="4"/>
  <c r="O13" i="4" s="1"/>
  <c r="I19" i="2"/>
  <c r="I41" i="2" s="1"/>
  <c r="I40" i="2"/>
  <c r="K34" i="4"/>
  <c r="H40" i="2"/>
  <c r="H19" i="2"/>
  <c r="H41" i="2" s="1"/>
  <c r="N19" i="3"/>
  <c r="M21" i="3"/>
  <c r="M22" i="3" s="1"/>
  <c r="G19" i="2"/>
  <c r="G41" i="2" s="1"/>
  <c r="G40" i="2"/>
  <c r="L40" i="2"/>
  <c r="L19" i="2"/>
  <c r="L41" i="2" s="1"/>
  <c r="C19" i="2"/>
  <c r="C41" i="2" s="1"/>
  <c r="C40" i="2"/>
  <c r="E19" i="2"/>
  <c r="E41" i="2" s="1"/>
  <c r="E40" i="2"/>
  <c r="L22" i="3"/>
  <c r="N37" i="5" l="1"/>
  <c r="M7" i="7"/>
  <c r="N4" i="7"/>
  <c r="L34" i="4"/>
  <c r="N15" i="4"/>
  <c r="N31" i="4"/>
  <c r="N12" i="4"/>
  <c r="O9" i="4"/>
  <c r="G13" i="4"/>
  <c r="I13" i="4"/>
  <c r="L13" i="4"/>
  <c r="H13" i="4"/>
  <c r="F13" i="4"/>
  <c r="M13" i="4"/>
  <c r="O35" i="4"/>
  <c r="N13" i="4"/>
  <c r="E13" i="4"/>
  <c r="J13" i="4"/>
  <c r="K13" i="4"/>
  <c r="D13" i="4"/>
  <c r="M12" i="4"/>
  <c r="M15" i="4" s="1"/>
  <c r="M31" i="4"/>
  <c r="O19" i="3"/>
  <c r="N21" i="3"/>
  <c r="N22" i="3" s="1"/>
  <c r="L8" i="7"/>
  <c r="N38" i="5" s="1"/>
  <c r="O32" i="4"/>
  <c r="M21" i="4" l="1"/>
  <c r="M25" i="4"/>
  <c r="M23" i="4"/>
  <c r="M16" i="4"/>
  <c r="M19" i="4"/>
  <c r="M27" i="4"/>
  <c r="F35" i="4"/>
  <c r="F37" i="4" s="1"/>
  <c r="F14" i="4"/>
  <c r="F36" i="4" s="1"/>
  <c r="F15" i="4"/>
  <c r="H35" i="4"/>
  <c r="H37" i="4" s="1"/>
  <c r="H14" i="4"/>
  <c r="H36" i="4" s="1"/>
  <c r="H15" i="4"/>
  <c r="J14" i="4"/>
  <c r="J36" i="4" s="1"/>
  <c r="J35" i="4"/>
  <c r="J37" i="4" s="1"/>
  <c r="J15" i="4"/>
  <c r="O21" i="3"/>
  <c r="P19" i="3"/>
  <c r="E14" i="4"/>
  <c r="E36" i="4" s="1"/>
  <c r="E35" i="4"/>
  <c r="E37" i="4" s="1"/>
  <c r="E15" i="4"/>
  <c r="I35" i="4"/>
  <c r="I37" i="4" s="1"/>
  <c r="I14" i="4"/>
  <c r="I36" i="4" s="1"/>
  <c r="I15" i="4"/>
  <c r="N7" i="7"/>
  <c r="N8" i="7" s="1"/>
  <c r="P38" i="5" s="1"/>
  <c r="O4" i="7"/>
  <c r="N14" i="4"/>
  <c r="N36" i="4" s="1"/>
  <c r="N35" i="4"/>
  <c r="G14" i="4"/>
  <c r="G36" i="4" s="1"/>
  <c r="G35" i="4"/>
  <c r="G37" i="4" s="1"/>
  <c r="G15" i="4"/>
  <c r="O37" i="5"/>
  <c r="O31" i="4"/>
  <c r="M8" i="7"/>
  <c r="O38" i="5" s="1"/>
  <c r="M34" i="4"/>
  <c r="M37" i="4" s="1"/>
  <c r="C13" i="4"/>
  <c r="O12" i="4"/>
  <c r="O15" i="4" s="1"/>
  <c r="O16" i="4" s="1"/>
  <c r="D14" i="4"/>
  <c r="D36" i="4" s="1"/>
  <c r="D35" i="4"/>
  <c r="D37" i="4" s="1"/>
  <c r="D15" i="4"/>
  <c r="N21" i="4"/>
  <c r="N25" i="4"/>
  <c r="N27" i="4"/>
  <c r="N23" i="4"/>
  <c r="N19" i="4"/>
  <c r="N17" i="4" s="1"/>
  <c r="N18" i="4" s="1"/>
  <c r="N16" i="4"/>
  <c r="K35" i="4"/>
  <c r="K37" i="4" s="1"/>
  <c r="K14" i="4"/>
  <c r="K36" i="4" s="1"/>
  <c r="K15" i="4"/>
  <c r="O22" i="3"/>
  <c r="L14" i="4"/>
  <c r="L36" i="4" s="1"/>
  <c r="L35" i="4"/>
  <c r="L37" i="4" s="1"/>
  <c r="M14" i="4"/>
  <c r="M36" i="4" s="1"/>
  <c r="M35" i="4"/>
  <c r="N34" i="4"/>
  <c r="L15" i="4"/>
  <c r="M45" i="4" l="1"/>
  <c r="M47" i="4"/>
  <c r="M38" i="4"/>
  <c r="M49" i="4"/>
  <c r="M43" i="4"/>
  <c r="M41" i="4"/>
  <c r="L38" i="4"/>
  <c r="L49" i="4"/>
  <c r="L43" i="4"/>
  <c r="L45" i="4"/>
  <c r="L47" i="4"/>
  <c r="L41" i="4"/>
  <c r="I19" i="4"/>
  <c r="I21" i="4"/>
  <c r="I23" i="4"/>
  <c r="I25" i="4"/>
  <c r="I16" i="4"/>
  <c r="I27" i="4"/>
  <c r="J16" i="4"/>
  <c r="J19" i="4"/>
  <c r="J27" i="4"/>
  <c r="J21" i="4"/>
  <c r="J23" i="4"/>
  <c r="J25" i="4"/>
  <c r="G27" i="4"/>
  <c r="G16" i="4"/>
  <c r="G25" i="4"/>
  <c r="G23" i="4"/>
  <c r="G19" i="4"/>
  <c r="G21" i="4"/>
  <c r="G43" i="4"/>
  <c r="G41" i="4"/>
  <c r="G38" i="4"/>
  <c r="G47" i="4"/>
  <c r="G49" i="4"/>
  <c r="G45" i="4"/>
  <c r="L27" i="4"/>
  <c r="L25" i="4"/>
  <c r="L16" i="4"/>
  <c r="L23" i="4"/>
  <c r="L19" i="4"/>
  <c r="L21" i="4"/>
  <c r="E16" i="4"/>
  <c r="E21" i="4"/>
  <c r="E23" i="4"/>
  <c r="E27" i="4"/>
  <c r="E25" i="4"/>
  <c r="E19" i="4"/>
  <c r="H27" i="4"/>
  <c r="H19" i="4"/>
  <c r="H21" i="4"/>
  <c r="H25" i="4"/>
  <c r="H16" i="4"/>
  <c r="H23" i="4"/>
  <c r="O34" i="4"/>
  <c r="E49" i="4"/>
  <c r="E41" i="4"/>
  <c r="E45" i="4"/>
  <c r="E47" i="4"/>
  <c r="E43" i="4"/>
  <c r="E38" i="4"/>
  <c r="N37" i="4"/>
  <c r="D16" i="4"/>
  <c r="D25" i="4"/>
  <c r="D21" i="4"/>
  <c r="D19" i="4"/>
  <c r="D27" i="4"/>
  <c r="D23" i="4"/>
  <c r="H38" i="4"/>
  <c r="H45" i="4"/>
  <c r="H41" i="4"/>
  <c r="H47" i="4"/>
  <c r="H43" i="4"/>
  <c r="H49" i="4"/>
  <c r="D45" i="4"/>
  <c r="D43" i="4"/>
  <c r="D47" i="4"/>
  <c r="D49" i="4"/>
  <c r="D38" i="4"/>
  <c r="D41" i="4"/>
  <c r="D39" i="4" s="1"/>
  <c r="D40" i="4" s="1"/>
  <c r="P4" i="7"/>
  <c r="O7" i="7"/>
  <c r="Q19" i="3"/>
  <c r="P21" i="3"/>
  <c r="F19" i="4"/>
  <c r="F25" i="4"/>
  <c r="F27" i="4"/>
  <c r="F21" i="4"/>
  <c r="F16" i="4"/>
  <c r="F23" i="4"/>
  <c r="F38" i="4"/>
  <c r="F49" i="4"/>
  <c r="F45" i="4"/>
  <c r="F43" i="4"/>
  <c r="F41" i="4"/>
  <c r="F47" i="4"/>
  <c r="C14" i="4"/>
  <c r="C36" i="4" s="1"/>
  <c r="C35" i="4"/>
  <c r="C37" i="4" s="1"/>
  <c r="C15" i="4"/>
  <c r="J43" i="4"/>
  <c r="J49" i="4"/>
  <c r="J47" i="4"/>
  <c r="J38" i="4"/>
  <c r="J45" i="4"/>
  <c r="J41" i="4"/>
  <c r="I45" i="4"/>
  <c r="I38" i="4"/>
  <c r="I51" i="4"/>
  <c r="I52" i="4" s="1"/>
  <c r="I43" i="4"/>
  <c r="I47" i="4"/>
  <c r="I49" i="4"/>
  <c r="I41" i="4"/>
  <c r="I39" i="4" s="1"/>
  <c r="I40" i="4" s="1"/>
  <c r="K27" i="4"/>
  <c r="K21" i="4"/>
  <c r="K23" i="4"/>
  <c r="K19" i="4"/>
  <c r="K17" i="4" s="1"/>
  <c r="K18" i="4" s="1"/>
  <c r="K25" i="4"/>
  <c r="K16" i="4"/>
  <c r="M17" i="4"/>
  <c r="K47" i="4"/>
  <c r="K49" i="4"/>
  <c r="K45" i="4"/>
  <c r="K43" i="4"/>
  <c r="K38" i="4"/>
  <c r="K41" i="4"/>
  <c r="N29" i="4"/>
  <c r="N30" i="4" s="1"/>
  <c r="P37" i="5"/>
  <c r="P22" i="3"/>
  <c r="N49" i="4" l="1"/>
  <c r="N38" i="4"/>
  <c r="N43" i="4"/>
  <c r="N41" i="4"/>
  <c r="N47" i="4"/>
  <c r="N45" i="4"/>
  <c r="J17" i="4"/>
  <c r="K39" i="4"/>
  <c r="E17" i="4"/>
  <c r="M39" i="4"/>
  <c r="F39" i="4"/>
  <c r="P7" i="7"/>
  <c r="P8" i="7" s="1"/>
  <c r="R38" i="5" s="1"/>
  <c r="Q4" i="7"/>
  <c r="M18" i="4"/>
  <c r="M29" i="4"/>
  <c r="M30" i="4" s="1"/>
  <c r="R19" i="3"/>
  <c r="Q21" i="3"/>
  <c r="L17" i="4"/>
  <c r="Q37" i="5"/>
  <c r="I17" i="4"/>
  <c r="K29" i="4"/>
  <c r="K30" i="4" s="1"/>
  <c r="D51" i="4"/>
  <c r="D52" i="4" s="1"/>
  <c r="D17" i="4"/>
  <c r="G39" i="4"/>
  <c r="L39" i="4"/>
  <c r="C19" i="4"/>
  <c r="C25" i="4"/>
  <c r="O25" i="4" s="1"/>
  <c r="O26" i="4" s="1"/>
  <c r="O48" i="4" s="1"/>
  <c r="C23" i="4"/>
  <c r="O23" i="4" s="1"/>
  <c r="O24" i="4" s="1"/>
  <c r="O46" i="4" s="1"/>
  <c r="C21" i="4"/>
  <c r="O21" i="4" s="1"/>
  <c r="O22" i="4" s="1"/>
  <c r="O44" i="4" s="1"/>
  <c r="C16" i="4"/>
  <c r="C27" i="4"/>
  <c r="O27" i="4" s="1"/>
  <c r="O28" i="4" s="1"/>
  <c r="O50" i="4" s="1"/>
  <c r="F17" i="4"/>
  <c r="H39" i="4"/>
  <c r="E39" i="4"/>
  <c r="H17" i="4"/>
  <c r="G17" i="4"/>
  <c r="O8" i="7"/>
  <c r="Q38" i="5" s="1"/>
  <c r="J39" i="4"/>
  <c r="C45" i="4"/>
  <c r="O37" i="4"/>
  <c r="O38" i="4" s="1"/>
  <c r="C49" i="4"/>
  <c r="O49" i="4" s="1"/>
  <c r="C47" i="4"/>
  <c r="O47" i="4" s="1"/>
  <c r="C43" i="4"/>
  <c r="O43" i="4" s="1"/>
  <c r="C38" i="4"/>
  <c r="C41" i="4"/>
  <c r="Q22" i="3"/>
  <c r="G18" i="4" l="1"/>
  <c r="G29" i="4"/>
  <c r="G30" i="4" s="1"/>
  <c r="H18" i="4"/>
  <c r="H29" i="4"/>
  <c r="H30" i="4" s="1"/>
  <c r="I18" i="4"/>
  <c r="I29" i="4"/>
  <c r="I30" i="4" s="1"/>
  <c r="C17" i="4"/>
  <c r="O19" i="4"/>
  <c r="F40" i="4"/>
  <c r="F51" i="4"/>
  <c r="F52" i="4" s="1"/>
  <c r="L18" i="4"/>
  <c r="L29" i="4"/>
  <c r="L30" i="4" s="1"/>
  <c r="Q7" i="7"/>
  <c r="R4" i="7"/>
  <c r="E40" i="4"/>
  <c r="E51" i="4"/>
  <c r="E52" i="4" s="1"/>
  <c r="R37" i="5"/>
  <c r="H40" i="4"/>
  <c r="H51" i="4"/>
  <c r="H52" i="4" s="1"/>
  <c r="L40" i="4"/>
  <c r="L51" i="4"/>
  <c r="L52" i="4" s="1"/>
  <c r="G40" i="4"/>
  <c r="G51" i="4"/>
  <c r="G52" i="4" s="1"/>
  <c r="R22" i="3"/>
  <c r="E18" i="4"/>
  <c r="E29" i="4"/>
  <c r="E30" i="4" s="1"/>
  <c r="J18" i="4"/>
  <c r="J29" i="4"/>
  <c r="J30" i="4" s="1"/>
  <c r="N39" i="4"/>
  <c r="F18" i="4"/>
  <c r="F29" i="4"/>
  <c r="F30" i="4" s="1"/>
  <c r="M40" i="4"/>
  <c r="M51" i="4"/>
  <c r="M52" i="4" s="1"/>
  <c r="O45" i="4"/>
  <c r="O41" i="4"/>
  <c r="C39" i="4"/>
  <c r="J40" i="4"/>
  <c r="J51" i="4"/>
  <c r="J52" i="4" s="1"/>
  <c r="D18" i="4"/>
  <c r="D29" i="4"/>
  <c r="D30" i="4" s="1"/>
  <c r="S19" i="3"/>
  <c r="R21" i="3"/>
  <c r="K40" i="4"/>
  <c r="K51" i="4"/>
  <c r="K52" i="4" s="1"/>
  <c r="S4" i="7" l="1"/>
  <c r="R7" i="7"/>
  <c r="O39" i="4"/>
  <c r="O40" i="4" s="1"/>
  <c r="C40" i="4"/>
  <c r="C51" i="4"/>
  <c r="R8" i="7"/>
  <c r="T38" i="5" s="1"/>
  <c r="S37" i="5"/>
  <c r="O20" i="4"/>
  <c r="O42" i="4" s="1"/>
  <c r="O17" i="4"/>
  <c r="O18" i="4" s="1"/>
  <c r="N40" i="4"/>
  <c r="N51" i="4"/>
  <c r="N52" i="4" s="1"/>
  <c r="T19" i="3"/>
  <c r="S21" i="3"/>
  <c r="Q8" i="7"/>
  <c r="S38" i="5" s="1"/>
  <c r="C18" i="4"/>
  <c r="C29" i="4"/>
  <c r="T22" i="3" l="1"/>
  <c r="U19" i="3"/>
  <c r="T21" i="3"/>
  <c r="C52" i="4"/>
  <c r="O51" i="4"/>
  <c r="O52" i="4" s="1"/>
  <c r="S22" i="3"/>
  <c r="T37" i="5"/>
  <c r="C30" i="4"/>
  <c r="O29" i="4"/>
  <c r="O30" i="4" s="1"/>
  <c r="T4" i="7"/>
  <c r="S8" i="7"/>
  <c r="U38" i="5" s="1"/>
  <c r="U37" i="5" l="1"/>
  <c r="U4" i="7"/>
  <c r="T7" i="7"/>
  <c r="U21" i="3"/>
  <c r="V19" i="3"/>
  <c r="V22" i="3" l="1"/>
  <c r="U22" i="3"/>
  <c r="V37" i="5"/>
  <c r="W19" i="3"/>
  <c r="V21" i="3"/>
  <c r="U7" i="7"/>
  <c r="V4" i="7"/>
  <c r="T8" i="7"/>
  <c r="V38" i="5" s="1"/>
  <c r="V7" i="7" l="1"/>
  <c r="W4" i="7"/>
  <c r="W37" i="5"/>
  <c r="X19" i="3"/>
  <c r="W21" i="3"/>
  <c r="U8" i="7"/>
  <c r="W38" i="5" s="1"/>
  <c r="X37" i="5" l="1"/>
  <c r="Y19" i="3"/>
  <c r="X21" i="3"/>
  <c r="W22" i="3"/>
  <c r="V8" i="7"/>
  <c r="X38" i="5" s="1"/>
  <c r="X4" i="7"/>
  <c r="W7" i="7"/>
  <c r="X7" i="7" l="1"/>
  <c r="X8" i="7" s="1"/>
  <c r="Z38" i="5" s="1"/>
  <c r="Y4" i="7"/>
  <c r="Y21" i="3"/>
  <c r="Z19" i="3"/>
  <c r="X22" i="3"/>
  <c r="Y37" i="5"/>
  <c r="W8" i="7"/>
  <c r="Y38" i="5" s="1"/>
  <c r="AA19" i="3" l="1"/>
  <c r="Z21" i="3"/>
  <c r="Z22" i="3"/>
  <c r="AA22" i="3" s="1"/>
  <c r="Y22" i="3"/>
  <c r="Y7" i="7"/>
  <c r="Y8" i="7" s="1"/>
  <c r="AA38" i="5" s="1"/>
  <c r="Z4" i="7"/>
  <c r="Z37" i="5"/>
  <c r="G15" i="2" l="1"/>
  <c r="C28" i="3"/>
  <c r="J37" i="2"/>
  <c r="M15" i="2"/>
  <c r="L15" i="2"/>
  <c r="I15" i="2"/>
  <c r="J15" i="2"/>
  <c r="F15" i="2"/>
  <c r="M37" i="2"/>
  <c r="D37" i="2"/>
  <c r="K37" i="2"/>
  <c r="C15" i="2"/>
  <c r="E15" i="2"/>
  <c r="I37" i="2"/>
  <c r="H15" i="2"/>
  <c r="L37" i="2"/>
  <c r="G37" i="2"/>
  <c r="D15" i="2"/>
  <c r="E37" i="2"/>
  <c r="C37" i="2"/>
  <c r="H37" i="2"/>
  <c r="N37" i="2"/>
  <c r="K15" i="2"/>
  <c r="N15" i="2"/>
  <c r="F37" i="2"/>
  <c r="AB21" i="3"/>
  <c r="C26" i="3"/>
  <c r="C27" i="3"/>
  <c r="AA21" i="3"/>
  <c r="AA4" i="7"/>
  <c r="C12" i="7" s="1"/>
  <c r="Z7" i="7"/>
  <c r="Z8" i="7" s="1"/>
  <c r="AA37" i="5"/>
  <c r="AB38" i="5" l="1"/>
  <c r="D38" i="5" s="1"/>
  <c r="AA8" i="7"/>
  <c r="C16" i="7" s="1"/>
  <c r="N17" i="2"/>
  <c r="N20" i="2" s="1"/>
  <c r="J17" i="2"/>
  <c r="J20" i="2"/>
  <c r="O15" i="2"/>
  <c r="C17" i="2"/>
  <c r="E39" i="2"/>
  <c r="E42" i="2"/>
  <c r="J39" i="2"/>
  <c r="J42" i="2"/>
  <c r="F17" i="2"/>
  <c r="F20" i="2" s="1"/>
  <c r="K17" i="2"/>
  <c r="K20" i="2" s="1"/>
  <c r="I39" i="2"/>
  <c r="I42" i="2"/>
  <c r="E17" i="2"/>
  <c r="E20" i="2" s="1"/>
  <c r="K39" i="2"/>
  <c r="K42" i="2" s="1"/>
  <c r="D20" i="2"/>
  <c r="D17" i="2"/>
  <c r="D39" i="2"/>
  <c r="D42" i="2"/>
  <c r="L39" i="2"/>
  <c r="L42" i="2"/>
  <c r="AB37" i="5"/>
  <c r="C37" i="5" s="1"/>
  <c r="AA7" i="7"/>
  <c r="C14" i="7"/>
  <c r="H17" i="2"/>
  <c r="H20" i="2" s="1"/>
  <c r="N39" i="2"/>
  <c r="N42" i="2"/>
  <c r="I17" i="2"/>
  <c r="I20" i="2" s="1"/>
  <c r="H42" i="2"/>
  <c r="H39" i="2"/>
  <c r="L17" i="2"/>
  <c r="L20" i="2" s="1"/>
  <c r="O37" i="2"/>
  <c r="C39" i="2"/>
  <c r="C42" i="2"/>
  <c r="M17" i="2"/>
  <c r="M20" i="2" s="1"/>
  <c r="F39" i="2"/>
  <c r="F42" i="2" s="1"/>
  <c r="G39" i="2"/>
  <c r="G42" i="2"/>
  <c r="M39" i="2"/>
  <c r="M42" i="2"/>
  <c r="G17" i="2"/>
  <c r="G20" i="2"/>
  <c r="K52" i="2" l="1"/>
  <c r="K50" i="2"/>
  <c r="K48" i="2"/>
  <c r="K46" i="2"/>
  <c r="K44" i="2" s="1"/>
  <c r="K45" i="2" s="1"/>
  <c r="K43" i="2"/>
  <c r="K55" i="2"/>
  <c r="I30" i="2"/>
  <c r="I28" i="2"/>
  <c r="I21" i="2"/>
  <c r="I24" i="2"/>
  <c r="I26" i="2"/>
  <c r="I33" i="2"/>
  <c r="K28" i="2"/>
  <c r="K21" i="2"/>
  <c r="K26" i="2"/>
  <c r="K24" i="2"/>
  <c r="K30" i="2"/>
  <c r="K33" i="2"/>
  <c r="E26" i="2"/>
  <c r="E28" i="2"/>
  <c r="E30" i="2"/>
  <c r="E24" i="2"/>
  <c r="E21" i="2"/>
  <c r="E33" i="2"/>
  <c r="F46" i="2"/>
  <c r="F52" i="2"/>
  <c r="F48" i="2"/>
  <c r="F50" i="2"/>
  <c r="F43" i="2"/>
  <c r="F55" i="2"/>
  <c r="M30" i="2"/>
  <c r="M26" i="2"/>
  <c r="M24" i="2"/>
  <c r="M22" i="2" s="1"/>
  <c r="M23" i="2" s="1"/>
  <c r="M21" i="2"/>
  <c r="M28" i="2"/>
  <c r="M33" i="2"/>
  <c r="H24" i="2"/>
  <c r="H28" i="2"/>
  <c r="H30" i="2"/>
  <c r="H21" i="2"/>
  <c r="H26" i="2"/>
  <c r="H33" i="2"/>
  <c r="F30" i="2"/>
  <c r="F26" i="2"/>
  <c r="F28" i="2"/>
  <c r="F21" i="2"/>
  <c r="F24" i="2"/>
  <c r="F22" i="2" s="1"/>
  <c r="F23" i="2" s="1"/>
  <c r="F33" i="2"/>
  <c r="N26" i="2"/>
  <c r="N21" i="2"/>
  <c r="N28" i="2"/>
  <c r="N24" i="2"/>
  <c r="N22" i="2" s="1"/>
  <c r="N23" i="2" s="1"/>
  <c r="N30" i="2"/>
  <c r="N33" i="2"/>
  <c r="L21" i="2"/>
  <c r="L30" i="2"/>
  <c r="L26" i="2"/>
  <c r="L24" i="2"/>
  <c r="L22" i="2" s="1"/>
  <c r="L23" i="2" s="1"/>
  <c r="L28" i="2"/>
  <c r="L33" i="2"/>
  <c r="G30" i="2"/>
  <c r="G26" i="2"/>
  <c r="G28" i="2"/>
  <c r="G24" i="2"/>
  <c r="G21" i="2"/>
  <c r="G33" i="2"/>
  <c r="D21" i="2"/>
  <c r="D28" i="2"/>
  <c r="D24" i="2"/>
  <c r="D26" i="2"/>
  <c r="D30" i="2"/>
  <c r="D33" i="2"/>
  <c r="C46" i="2"/>
  <c r="C52" i="2"/>
  <c r="O52" i="2" s="1"/>
  <c r="C43" i="2"/>
  <c r="O42" i="2"/>
  <c r="C48" i="2"/>
  <c r="C50" i="2"/>
  <c r="C55" i="2"/>
  <c r="O39" i="2"/>
  <c r="D48" i="2"/>
  <c r="D46" i="2"/>
  <c r="D44" i="2" s="1"/>
  <c r="D45" i="2" s="1"/>
  <c r="D43" i="2"/>
  <c r="D52" i="2"/>
  <c r="D50" i="2"/>
  <c r="D55" i="2"/>
  <c r="E50" i="2"/>
  <c r="E48" i="2"/>
  <c r="E46" i="2"/>
  <c r="E44" i="2" s="1"/>
  <c r="E45" i="2" s="1"/>
  <c r="E43" i="2"/>
  <c r="E52" i="2"/>
  <c r="E55" i="2"/>
  <c r="H46" i="2"/>
  <c r="H52" i="2"/>
  <c r="H50" i="2"/>
  <c r="H43" i="2"/>
  <c r="H48" i="2"/>
  <c r="H55" i="2"/>
  <c r="O17" i="2"/>
  <c r="O20" i="2" s="1"/>
  <c r="M43" i="2"/>
  <c r="M52" i="2"/>
  <c r="M48" i="2"/>
  <c r="M50" i="2"/>
  <c r="M46" i="2"/>
  <c r="M55" i="2"/>
  <c r="J26" i="2"/>
  <c r="J24" i="2"/>
  <c r="J30" i="2"/>
  <c r="J28" i="2"/>
  <c r="J21" i="2"/>
  <c r="J33" i="2"/>
  <c r="N46" i="2"/>
  <c r="N52" i="2"/>
  <c r="N48" i="2"/>
  <c r="N50" i="2"/>
  <c r="N43" i="2"/>
  <c r="N55" i="2"/>
  <c r="J48" i="2"/>
  <c r="J43" i="2"/>
  <c r="J50" i="2"/>
  <c r="J46" i="2"/>
  <c r="J52" i="2"/>
  <c r="J55" i="2"/>
  <c r="I52" i="2"/>
  <c r="I48" i="2"/>
  <c r="I43" i="2"/>
  <c r="I50" i="2"/>
  <c r="I46" i="2"/>
  <c r="I55" i="2"/>
  <c r="L43" i="2"/>
  <c r="L50" i="2"/>
  <c r="L52" i="2"/>
  <c r="L48" i="2"/>
  <c r="L46" i="2"/>
  <c r="L44" i="2" s="1"/>
  <c r="L45" i="2" s="1"/>
  <c r="L55" i="2"/>
  <c r="G48" i="2"/>
  <c r="G43" i="2"/>
  <c r="G50" i="2"/>
  <c r="G46" i="2"/>
  <c r="G52" i="2"/>
  <c r="G55" i="2"/>
  <c r="C20" i="2"/>
  <c r="O21" i="2" l="1"/>
  <c r="O33" i="2"/>
  <c r="C26" i="2"/>
  <c r="O26" i="2" s="1"/>
  <c r="O27" i="2" s="1"/>
  <c r="O49" i="2" s="1"/>
  <c r="C28" i="2"/>
  <c r="O28" i="2" s="1"/>
  <c r="O29" i="2" s="1"/>
  <c r="O51" i="2" s="1"/>
  <c r="C30" i="2"/>
  <c r="O30" i="2" s="1"/>
  <c r="O31" i="2" s="1"/>
  <c r="O53" i="2" s="1"/>
  <c r="C21" i="2"/>
  <c r="C24" i="2"/>
  <c r="C33" i="2"/>
  <c r="I44" i="2"/>
  <c r="J44" i="2"/>
  <c r="J22" i="2"/>
  <c r="O46" i="2"/>
  <c r="C44" i="2"/>
  <c r="L56" i="2"/>
  <c r="L57" i="2" s="1"/>
  <c r="H44" i="2"/>
  <c r="N34" i="2"/>
  <c r="N35" i="2" s="1"/>
  <c r="M34" i="2"/>
  <c r="M35" i="2" s="1"/>
  <c r="F44" i="2"/>
  <c r="K56" i="2"/>
  <c r="K57" i="2" s="1"/>
  <c r="N44" i="2"/>
  <c r="O50" i="2"/>
  <c r="D56" i="2"/>
  <c r="D57" i="2" s="1"/>
  <c r="H22" i="2"/>
  <c r="M44" i="2"/>
  <c r="E56" i="2"/>
  <c r="E57" i="2" s="1"/>
  <c r="O43" i="2"/>
  <c r="O55" i="2"/>
  <c r="G22" i="2"/>
  <c r="L34" i="2"/>
  <c r="L35" i="2" s="1"/>
  <c r="F34" i="2"/>
  <c r="F35" i="2" s="1"/>
  <c r="K22" i="2"/>
  <c r="I22" i="2"/>
  <c r="G44" i="2"/>
  <c r="O48" i="2"/>
  <c r="D22" i="2"/>
  <c r="E22" i="2"/>
  <c r="K23" i="2" l="1"/>
  <c r="K34" i="2"/>
  <c r="K35" i="2" s="1"/>
  <c r="O24" i="2"/>
  <c r="C22" i="2"/>
  <c r="E23" i="2"/>
  <c r="E34" i="2"/>
  <c r="E35" i="2" s="1"/>
  <c r="G23" i="2"/>
  <c r="G34" i="2"/>
  <c r="G35" i="2" s="1"/>
  <c r="N45" i="2"/>
  <c r="N56" i="2"/>
  <c r="N57" i="2" s="1"/>
  <c r="H23" i="2"/>
  <c r="H34" i="2"/>
  <c r="H35" i="2" s="1"/>
  <c r="C45" i="2"/>
  <c r="O44" i="2"/>
  <c r="O45" i="2" s="1"/>
  <c r="C56" i="2"/>
  <c r="D23" i="2"/>
  <c r="D34" i="2"/>
  <c r="D35" i="2" s="1"/>
  <c r="J23" i="2"/>
  <c r="J34" i="2"/>
  <c r="J35" i="2" s="1"/>
  <c r="G45" i="2"/>
  <c r="G56" i="2"/>
  <c r="G57" i="2" s="1"/>
  <c r="I45" i="2"/>
  <c r="I56" i="2"/>
  <c r="I57" i="2" s="1"/>
  <c r="H45" i="2"/>
  <c r="H56" i="2"/>
  <c r="H57" i="2" s="1"/>
  <c r="F45" i="2"/>
  <c r="F56" i="2"/>
  <c r="F57" i="2" s="1"/>
  <c r="J45" i="2"/>
  <c r="J56" i="2"/>
  <c r="J57" i="2" s="1"/>
  <c r="I23" i="2"/>
  <c r="I34" i="2"/>
  <c r="I35" i="2" s="1"/>
  <c r="M45" i="2"/>
  <c r="M56" i="2"/>
  <c r="M57" i="2" s="1"/>
  <c r="C23" i="2" l="1"/>
  <c r="C34" i="2"/>
  <c r="O22" i="2"/>
  <c r="O23" i="2" s="1"/>
  <c r="O25" i="2"/>
  <c r="O47" i="2" s="1"/>
  <c r="O56" i="2"/>
  <c r="O57" i="2" s="1"/>
  <c r="C57" i="2"/>
  <c r="O34" i="2" l="1"/>
  <c r="O35" i="2" s="1"/>
  <c r="C35" i="2"/>
</calcChain>
</file>

<file path=xl/comments1.xml><?xml version="1.0" encoding="utf-8"?>
<comments xmlns="http://schemas.openxmlformats.org/spreadsheetml/2006/main">
  <authors>
    <author>Luna Deng</author>
  </authors>
  <commentList>
    <comment ref="AA7" authorId="0" shapeId="0">
      <text>
        <r>
          <rPr>
            <sz val="9"/>
            <color indexed="81"/>
            <rFont val="宋体"/>
            <family val="3"/>
            <charset val="134"/>
          </rPr>
          <t xml:space="preserve">LYQ
资金需求均值
</t>
        </r>
      </text>
    </comment>
  </commentList>
</comments>
</file>

<file path=xl/comments2.xml><?xml version="1.0" encoding="utf-8"?>
<comments xmlns="http://schemas.openxmlformats.org/spreadsheetml/2006/main">
  <authors>
    <author>Luna Deng</author>
  </authors>
  <commentList>
    <comment ref="AA21" authorId="0" shapeId="0">
      <text>
        <r>
          <rPr>
            <b/>
            <sz val="9"/>
            <color indexed="81"/>
            <rFont val="宋体"/>
            <family val="3"/>
            <charset val="134"/>
          </rPr>
          <t>Luna Deng:</t>
        </r>
        <r>
          <rPr>
            <sz val="9"/>
            <color indexed="81"/>
            <rFont val="宋体"/>
            <family val="3"/>
            <charset val="134"/>
          </rPr>
          <t xml:space="preserve">
资金需求均值
</t>
        </r>
      </text>
    </comment>
  </commentList>
</comments>
</file>

<file path=xl/sharedStrings.xml><?xml version="1.0" encoding="utf-8"?>
<sst xmlns="http://schemas.openxmlformats.org/spreadsheetml/2006/main" count="308" uniqueCount="205">
  <si>
    <t>新房项目</t>
    <phoneticPr fontId="2" type="noConversion"/>
  </si>
  <si>
    <t>2017年</t>
    <phoneticPr fontId="2" type="noConversion"/>
  </si>
  <si>
    <t>2018年</t>
    <phoneticPr fontId="2" type="noConversion"/>
  </si>
  <si>
    <t>2019E</t>
  </si>
  <si>
    <t>备注</t>
  </si>
  <si>
    <t>GMV</t>
  </si>
  <si>
    <t>点位</t>
  </si>
  <si>
    <t>过去两年均值</t>
  </si>
  <si>
    <t>收入</t>
  </si>
  <si>
    <t>应收余额</t>
  </si>
  <si>
    <t>应收周转率（次）</t>
  </si>
  <si>
    <t>以2018年为基数</t>
  </si>
  <si>
    <t>新增应收1年以上回款率</t>
  </si>
  <si>
    <t>1年以上应收</t>
  </si>
  <si>
    <t>新房收入（亿）</t>
    <phoneticPr fontId="2" type="noConversion"/>
  </si>
  <si>
    <t>外渠占比</t>
  </si>
  <si>
    <t>平台费比例</t>
  </si>
  <si>
    <t>渠道费（亿）</t>
    <phoneticPr fontId="2" type="noConversion"/>
  </si>
  <si>
    <t>账龄(月）</t>
  </si>
  <si>
    <t>合计</t>
    <phoneticPr fontId="2" type="noConversion"/>
  </si>
  <si>
    <t>账龄占比%</t>
  </si>
  <si>
    <t>垫佣渗透率%</t>
    <phoneticPr fontId="2" type="noConversion"/>
  </si>
  <si>
    <t>应收转让规模（亿）</t>
    <phoneticPr fontId="2" type="noConversion"/>
  </si>
  <si>
    <t>定价%（折扣率）</t>
    <phoneticPr fontId="2" type="noConversion"/>
  </si>
  <si>
    <t>折算费率</t>
    <phoneticPr fontId="2" type="noConversion"/>
  </si>
  <si>
    <t>结佣规模（亿）</t>
    <phoneticPr fontId="2" type="noConversion"/>
  </si>
  <si>
    <t>（一）含税收入</t>
    <phoneticPr fontId="2" type="noConversion"/>
  </si>
  <si>
    <t>资金成本</t>
  </si>
  <si>
    <t>资金成本年化</t>
  </si>
  <si>
    <t>增值税</t>
    <phoneticPr fontId="2" type="noConversion"/>
  </si>
  <si>
    <t>风险拨备</t>
    <phoneticPr fontId="2" type="noConversion"/>
  </si>
  <si>
    <t>风险拨备率</t>
    <phoneticPr fontId="2" type="noConversion"/>
  </si>
  <si>
    <t>（二）税后净收入</t>
    <phoneticPr fontId="2" type="noConversion"/>
  </si>
  <si>
    <t>净利差</t>
    <phoneticPr fontId="2" type="noConversion"/>
  </si>
  <si>
    <t>（三）变动成本</t>
    <phoneticPr fontId="2" type="noConversion"/>
  </si>
  <si>
    <t xml:space="preserve">  变动成本占净收入比</t>
  </si>
  <si>
    <t>渠道成本</t>
  </si>
  <si>
    <t xml:space="preserve">  渠道成本占收入比</t>
  </si>
  <si>
    <t>提佣成本</t>
  </si>
  <si>
    <t xml:space="preserve">  提佣成本占收入比</t>
  </si>
  <si>
    <t>推广成本</t>
  </si>
  <si>
    <t xml:space="preserve">  推广成本占收入比</t>
  </si>
  <si>
    <t>通道成本</t>
  </si>
  <si>
    <t xml:space="preserve">  通道成本占收入比</t>
  </si>
  <si>
    <t>数据成本</t>
  </si>
  <si>
    <t>数据成本占收入比</t>
  </si>
  <si>
    <t>（四）毛利</t>
    <phoneticPr fontId="2" type="noConversion"/>
  </si>
  <si>
    <t>毛利率</t>
    <phoneticPr fontId="2" type="noConversion"/>
  </si>
  <si>
    <t xml:space="preserve">  </t>
    <phoneticPr fontId="2" type="noConversion"/>
  </si>
  <si>
    <t>以2018年为基数</t>
    <phoneticPr fontId="2" type="noConversion"/>
  </si>
  <si>
    <t>合计</t>
  </si>
  <si>
    <t>应收转让规模（亿）</t>
  </si>
  <si>
    <t>定价%（折扣率）</t>
  </si>
  <si>
    <t>折算费率</t>
  </si>
  <si>
    <t>（一）含税收入</t>
  </si>
  <si>
    <t>风险拨备率</t>
  </si>
  <si>
    <t>净利差</t>
  </si>
  <si>
    <t>毛利率</t>
  </si>
  <si>
    <t>垫拥贝GMV （亿）</t>
    <phoneticPr fontId="2" type="noConversion"/>
  </si>
  <si>
    <t>月利率</t>
    <phoneticPr fontId="2" type="noConversion"/>
  </si>
  <si>
    <t>增值税上限</t>
    <phoneticPr fontId="2" type="noConversion"/>
  </si>
  <si>
    <t>风险拨备</t>
    <phoneticPr fontId="2" type="noConversion"/>
  </si>
  <si>
    <t>（二）税后净收入上限</t>
    <phoneticPr fontId="2" type="noConversion"/>
  </si>
  <si>
    <t>净利差</t>
    <phoneticPr fontId="2" type="noConversion"/>
  </si>
  <si>
    <t xml:space="preserve">  渠道成本占净收入比</t>
  </si>
  <si>
    <t xml:space="preserve">  提佣成本占净收入比</t>
  </si>
  <si>
    <t xml:space="preserve">  推广成本占净收入比</t>
  </si>
  <si>
    <t xml:space="preserve">  通道成本占净收入比</t>
  </si>
  <si>
    <t>数据成本占净收入比</t>
  </si>
  <si>
    <t>（四）毛利上限</t>
    <phoneticPr fontId="2" type="noConversion"/>
  </si>
  <si>
    <t>（四）毛利下限</t>
    <phoneticPr fontId="2" type="noConversion"/>
  </si>
  <si>
    <t>（二）税后净收入下限</t>
    <phoneticPr fontId="2" type="noConversion"/>
  </si>
  <si>
    <t>资金成本上限</t>
    <phoneticPr fontId="2" type="noConversion"/>
  </si>
  <si>
    <t>资金成本下限</t>
    <phoneticPr fontId="2" type="noConversion"/>
  </si>
  <si>
    <t>增值税下限</t>
    <phoneticPr fontId="2" type="noConversion"/>
  </si>
  <si>
    <t>（三）变动成本下限</t>
    <phoneticPr fontId="2" type="noConversion"/>
  </si>
  <si>
    <t>（三）变动成本上限</t>
    <phoneticPr fontId="2" type="noConversion"/>
  </si>
  <si>
    <t>下限：月底最后一天还款；</t>
    <phoneticPr fontId="2" type="noConversion"/>
  </si>
  <si>
    <t>上限：最后一个月月初第一天还款</t>
    <phoneticPr fontId="2" type="noConversion"/>
  </si>
  <si>
    <t>13月</t>
    <phoneticPr fontId="2" type="noConversion"/>
  </si>
  <si>
    <t>14月</t>
    <phoneticPr fontId="2" type="noConversion"/>
  </si>
  <si>
    <t>15月</t>
  </si>
  <si>
    <t>16月</t>
  </si>
  <si>
    <t>17月</t>
  </si>
  <si>
    <t>18月</t>
  </si>
  <si>
    <t>19月</t>
  </si>
  <si>
    <t>20月</t>
  </si>
  <si>
    <t>21月</t>
  </si>
  <si>
    <t>22月</t>
  </si>
  <si>
    <t>23月</t>
  </si>
  <si>
    <t>24月</t>
  </si>
  <si>
    <t>(=9.45%-2.71%)</t>
    <phoneticPr fontId="2" type="noConversion"/>
  </si>
  <si>
    <t>假设</t>
    <phoneticPr fontId="2" type="noConversion"/>
  </si>
  <si>
    <t>GMV</t>
    <phoneticPr fontId="2" type="noConversion"/>
  </si>
  <si>
    <t>·账期超过12个月占比为</t>
    <phoneticPr fontId="2" type="noConversion"/>
  </si>
  <si>
    <t>·账期超过24个月占比为</t>
    <phoneticPr fontId="2" type="noConversion"/>
  </si>
  <si>
    <t>2019-F</t>
    <phoneticPr fontId="2" type="noConversion"/>
  </si>
  <si>
    <t>1.标蓝色部分为假设变量，可以调整
2风险拨备=GMV*2.71%，不同账龄的产品风险拨备率分布依赖收入占比，调整产品占比会严重影响风险拨备率及产品毛利，因此次测算并不能以此作为可以大量推介短期产品的依据
3.因考虑极端情况，客户当月用一天按照一个月计算，会出现实际收益高于18%，下限：月底最后一天还款；上限：最后一个月月初第一天还款</t>
    <phoneticPr fontId="2" type="noConversion"/>
  </si>
  <si>
    <t>·账期超过12个月需要其他资金垫资，垫资资金成本为</t>
    <phoneticPr fontId="2" type="noConversion"/>
  </si>
  <si>
    <t>标蓝色部分为假设变量，可以调整</t>
    <phoneticPr fontId="2" type="noConversion"/>
  </si>
  <si>
    <t>总结</t>
    <phoneticPr fontId="2" type="noConversion"/>
  </si>
  <si>
    <r>
      <t>测算明细</t>
    </r>
    <r>
      <rPr>
        <b/>
        <sz val="9"/>
        <color theme="1"/>
        <rFont val="等线"/>
        <family val="3"/>
        <charset val="134"/>
        <scheme val="minor"/>
      </rPr>
      <t>(亿元)</t>
    </r>
    <phoneticPr fontId="2" type="noConversion"/>
  </si>
  <si>
    <t>·2020年从3月起，产生垫资资金的需求，首月需求为</t>
    <phoneticPr fontId="2" type="noConversion"/>
  </si>
  <si>
    <t>（亿元）</t>
    <phoneticPr fontId="2" type="noConversion"/>
  </si>
  <si>
    <t>·放款后第13-24个月回款占比为</t>
    <phoneticPr fontId="2" type="noConversion"/>
  </si>
  <si>
    <t>·账期12个月内（含）由业务资金承担，此部分已计算资金成本，本测试不涉及</t>
    <phoneticPr fontId="2" type="noConversion"/>
  </si>
  <si>
    <t>账期超12个月的垫佣累计金额</t>
    <phoneticPr fontId="2" type="noConversion"/>
  </si>
  <si>
    <t>当月垫资资金成本</t>
    <phoneticPr fontId="2" type="noConversion"/>
  </si>
  <si>
    <t>在第13-24月内的累计回款额</t>
    <phoneticPr fontId="2" type="noConversion"/>
  </si>
  <si>
    <t>当月垫资资金量</t>
    <phoneticPr fontId="2" type="noConversion"/>
  </si>
  <si>
    <t>·2020年1月-2021年12月，垫资资金需求量均值为</t>
    <phoneticPr fontId="2" type="noConversion"/>
  </si>
  <si>
    <t>·2020年1月-2021年12月，垫资资金需求量峰值为</t>
    <phoneticPr fontId="2" type="noConversion"/>
  </si>
  <si>
    <t>·2019年放款GMV在2021年12月底前，垫资资金总资金成本为</t>
    <phoneticPr fontId="2" type="noConversion"/>
  </si>
  <si>
    <t>合计/平均</t>
    <phoneticPr fontId="2" type="noConversion"/>
  </si>
  <si>
    <t>·放款后第13-24个月回款的时间分布为：</t>
    <phoneticPr fontId="2" type="noConversion"/>
  </si>
  <si>
    <t>·单均垫资额（万元）</t>
    <phoneticPr fontId="2" type="noConversion"/>
  </si>
  <si>
    <t>单量</t>
    <phoneticPr fontId="2" type="noConversion"/>
  </si>
  <si>
    <t>风控数据成本（元/单）</t>
    <phoneticPr fontId="2" type="noConversion"/>
  </si>
  <si>
    <t>风控数据成本（次数）
贷款前一次；贷后监测，每季度一次</t>
    <phoneticPr fontId="2" type="noConversion"/>
  </si>
  <si>
    <t>【新房垫佣】2019年GMV在2020-2021年垫资需求及垫资资金成本测试</t>
    <phoneticPr fontId="2" type="noConversion"/>
  </si>
  <si>
    <t>【新房垫佣】2019年各账龄产品盈利测算</t>
    <phoneticPr fontId="2" type="noConversion"/>
  </si>
  <si>
    <t>经纪人-链链</t>
    <phoneticPr fontId="2" type="noConversion"/>
  </si>
  <si>
    <t>经纪人-外资</t>
    <phoneticPr fontId="2" type="noConversion"/>
  </si>
  <si>
    <t>链链</t>
    <phoneticPr fontId="2" type="noConversion"/>
  </si>
  <si>
    <t>经纪人-外资</t>
    <phoneticPr fontId="2" type="noConversion"/>
  </si>
  <si>
    <t>2019年合计</t>
    <phoneticPr fontId="2" type="noConversion"/>
  </si>
  <si>
    <t>年化资金成本（率）</t>
    <phoneticPr fontId="2" type="noConversion"/>
  </si>
  <si>
    <t>时间</t>
    <phoneticPr fontId="2" type="noConversion"/>
  </si>
  <si>
    <t>1年期产品费率</t>
    <phoneticPr fontId="2" type="noConversion"/>
  </si>
  <si>
    <t>说明</t>
    <phoneticPr fontId="2" type="noConversion"/>
  </si>
  <si>
    <t>一次性收取</t>
    <phoneticPr fontId="2" type="noConversion"/>
  </si>
  <si>
    <t>贷前风控数据成本（元/单）</t>
    <phoneticPr fontId="2" type="noConversion"/>
  </si>
  <si>
    <t>贷后风控数据成本（元/3月/单）</t>
    <phoneticPr fontId="2" type="noConversion"/>
  </si>
  <si>
    <t>增值税</t>
  </si>
  <si>
    <t>（四）毛利</t>
  </si>
  <si>
    <t>账期超过12个月（逾期）</t>
    <phoneticPr fontId="2" type="noConversion"/>
  </si>
  <si>
    <t>平均账期</t>
    <phoneticPr fontId="2" type="noConversion"/>
  </si>
  <si>
    <t>折算费率</t>
    <phoneticPr fontId="2" type="noConversion"/>
  </si>
  <si>
    <t>【新房垫佣】2019年分月P&amp;L（毛利之上部分）</t>
    <phoneticPr fontId="2" type="noConversion"/>
  </si>
  <si>
    <t>各成本占净收入比</t>
    <phoneticPr fontId="2" type="noConversion"/>
  </si>
  <si>
    <t>通道成本占净收入比</t>
    <phoneticPr fontId="2" type="noConversion"/>
  </si>
  <si>
    <t>推广成本占净收入比</t>
    <phoneticPr fontId="2" type="noConversion"/>
  </si>
  <si>
    <t>提佣成本占净收入比</t>
    <phoneticPr fontId="2" type="noConversion"/>
  </si>
  <si>
    <t>渠道成本占净收入比</t>
    <phoneticPr fontId="2" type="noConversion"/>
  </si>
  <si>
    <t>逾期2年期以上坏账累计金额</t>
    <phoneticPr fontId="2" type="noConversion"/>
  </si>
  <si>
    <t>累计值</t>
    <phoneticPr fontId="2" type="noConversion"/>
  </si>
  <si>
    <t>累计值</t>
    <phoneticPr fontId="2" type="noConversion"/>
  </si>
  <si>
    <t>合计数</t>
    <phoneticPr fontId="2" type="noConversion"/>
  </si>
  <si>
    <t>平均值</t>
    <phoneticPr fontId="2" type="noConversion"/>
  </si>
  <si>
    <r>
      <t>2020年1月-2021年12月，垫资资金需求量</t>
    </r>
    <r>
      <rPr>
        <b/>
        <sz val="10"/>
        <color rgb="FFFF0000"/>
        <rFont val="等线"/>
        <family val="3"/>
        <charset val="134"/>
        <scheme val="minor"/>
      </rPr>
      <t>累计额</t>
    </r>
    <phoneticPr fontId="2" type="noConversion"/>
  </si>
  <si>
    <r>
      <t>2020年1月-2021年12月，垫资资金需求量</t>
    </r>
    <r>
      <rPr>
        <b/>
        <sz val="10"/>
        <color rgb="FFFF0000"/>
        <rFont val="等线"/>
        <family val="3"/>
        <charset val="134"/>
        <scheme val="minor"/>
      </rPr>
      <t>均值</t>
    </r>
    <phoneticPr fontId="2" type="noConversion"/>
  </si>
  <si>
    <r>
      <t>2020年1月-2021年12月，垫资资金需求量</t>
    </r>
    <r>
      <rPr>
        <b/>
        <sz val="10"/>
        <color rgb="FFFF0000"/>
        <rFont val="等线"/>
        <family val="3"/>
        <charset val="134"/>
        <scheme val="minor"/>
      </rPr>
      <t>峰值</t>
    </r>
    <phoneticPr fontId="2" type="noConversion"/>
  </si>
  <si>
    <t>逾期2年以上的坏账金额累计值</t>
    <phoneticPr fontId="2" type="noConversion"/>
  </si>
  <si>
    <t>账期为12-24个月，新房需要承担的资金成本合计</t>
    <phoneticPr fontId="2" type="noConversion"/>
  </si>
  <si>
    <t>当月垫资资金量</t>
    <phoneticPr fontId="2" type="noConversion"/>
  </si>
  <si>
    <t>【新房垫佣】假设数据</t>
    <phoneticPr fontId="2" type="noConversion"/>
  </si>
  <si>
    <r>
      <t>1.标蓝色部分为假设变量，可以调整
2风险拨备=GMV*2.71%，不同账龄的产品风险拨备率分布依赖收入占比，调整产品占比会严重影响风险拨备率及产品毛利，</t>
    </r>
    <r>
      <rPr>
        <sz val="8"/>
        <color rgb="FFFF0000"/>
        <rFont val="等线"/>
        <family val="3"/>
        <charset val="134"/>
        <scheme val="minor"/>
      </rPr>
      <t>因此此测算并不能以此作为可以大量推介短期产品的依据</t>
    </r>
    <r>
      <rPr>
        <sz val="8"/>
        <color theme="1"/>
        <rFont val="等线"/>
        <family val="2"/>
        <scheme val="minor"/>
      </rPr>
      <t xml:space="preserve">
3.因考虑极端情况，客户当月用一天按照一个月计算，会出现实际收益高于18%，下限：月底最后一天还款；上限：最后一个月月初第一天还款
4.19年放款GMV逾期后2020-2021年垫资产生的资金成本，按照各期产品的含税收入占比摊到各产品的资金成本中</t>
    </r>
    <phoneticPr fontId="2" type="noConversion"/>
  </si>
  <si>
    <t>【新房垫佣】2019年GMV在2020-2021年垫资需求及新房资金成本测试</t>
    <phoneticPr fontId="2" type="noConversion"/>
  </si>
  <si>
    <t>新房承担</t>
    <phoneticPr fontId="2" type="noConversion"/>
  </si>
  <si>
    <t>一次性还本付息</t>
    <phoneticPr fontId="2" type="noConversion"/>
  </si>
  <si>
    <t>贷后监测，每季度查1次</t>
    <phoneticPr fontId="2" type="noConversion"/>
  </si>
  <si>
    <t>参数表</t>
    <phoneticPr fontId="2" type="noConversion"/>
  </si>
  <si>
    <t>加权汇总计算</t>
    <phoneticPr fontId="2" type="noConversion"/>
  </si>
  <si>
    <t>N月内还款分布：</t>
    <phoneticPr fontId="2" type="noConversion"/>
  </si>
  <si>
    <t>1.标            蓝色部分为假设变量，可调整
2.依据提前还款分布假设测算产品平均账期（12+统一按照12月来计算）
3.平均资金成本按照各产品资金渠道加权平均计算
4.P&amp;L：全部放款GMV应收收入口径，逾期or坏账GMV在12个月账期内由新房兜底（年化18%）
5.逾期资金&amp;资金陈本预测：逾期12-24个月由新房承担资金成本（年化8%），逾期超过24个月部分计入坏账本金（坏账后不再考虑资金成本）</t>
    <phoneticPr fontId="2" type="noConversion"/>
  </si>
  <si>
    <t>参数表</t>
    <phoneticPr fontId="2" type="noConversion"/>
  </si>
  <si>
    <r>
      <t>12+</t>
    </r>
    <r>
      <rPr>
        <b/>
        <sz val="6"/>
        <color theme="2" tint="-0.499984740745262"/>
        <rFont val="微软雅黑"/>
        <family val="2"/>
        <charset val="134"/>
      </rPr>
      <t>(逾期，自有资金垫资)</t>
    </r>
    <phoneticPr fontId="2" type="noConversion"/>
  </si>
  <si>
    <r>
      <t>24+</t>
    </r>
    <r>
      <rPr>
        <b/>
        <sz val="7"/>
        <color theme="2" tint="-0.499984740745262"/>
        <rFont val="微软雅黑"/>
        <family val="2"/>
        <charset val="134"/>
      </rPr>
      <t>（坏账）</t>
    </r>
    <phoneticPr fontId="2" type="noConversion"/>
  </si>
  <si>
    <t>(1-12]平均账期</t>
    <phoneticPr fontId="2" type="noConversion"/>
  </si>
  <si>
    <t>P&amp;L-简版</t>
    <phoneticPr fontId="2" type="noConversion"/>
  </si>
  <si>
    <t>GMV</t>
    <phoneticPr fontId="2" type="noConversion"/>
  </si>
  <si>
    <t>收入</t>
    <phoneticPr fontId="2" type="noConversion"/>
  </si>
  <si>
    <t>净利差</t>
    <phoneticPr fontId="2" type="noConversion"/>
  </si>
  <si>
    <t>毛利率</t>
    <phoneticPr fontId="2" type="noConversion"/>
  </si>
  <si>
    <t>净收入(-资金成本-风险拨备-增值税及附加)</t>
    <phoneticPr fontId="2" type="noConversion"/>
  </si>
  <si>
    <t>毛利(-渠道/提佣/推广/数据/通道成本）</t>
    <phoneticPr fontId="2" type="noConversion"/>
  </si>
  <si>
    <t>逾期资金缺口&amp;资金成本</t>
    <phoneticPr fontId="2" type="noConversion"/>
  </si>
  <si>
    <t>垫资资金缺口量</t>
    <phoneticPr fontId="2" type="noConversion"/>
  </si>
  <si>
    <t>SUMUP</t>
    <phoneticPr fontId="2" type="noConversion"/>
  </si>
  <si>
    <t>Average</t>
    <phoneticPr fontId="2" type="noConversion"/>
  </si>
  <si>
    <t>当月垫资资金成本</t>
    <phoneticPr fontId="2" type="noConversion"/>
  </si>
  <si>
    <t>提前还款</t>
    <phoneticPr fontId="2" type="noConversion"/>
  </si>
  <si>
    <t>逾期还款</t>
    <phoneticPr fontId="2" type="noConversion"/>
  </si>
  <si>
    <t>以下为简版呈现表-仅方便调参使用</t>
    <phoneticPr fontId="2" type="noConversion"/>
  </si>
  <si>
    <t>房江湖</t>
    <phoneticPr fontId="46" type="noConversion"/>
  </si>
  <si>
    <t>2019年贝壳新房销售额6000亿（不计代理）</t>
    <phoneticPr fontId="46" type="noConversion"/>
  </si>
  <si>
    <t>项目审核通过后可垫佣佣金金额</t>
    <phoneticPr fontId="46" type="noConversion"/>
  </si>
  <si>
    <t>渗透率</t>
    <phoneticPr fontId="46" type="noConversion"/>
  </si>
  <si>
    <t>平均折扣数</t>
    <phoneticPr fontId="46" type="noConversion"/>
  </si>
  <si>
    <t>链家内渠</t>
    <phoneticPr fontId="46" type="noConversion"/>
  </si>
  <si>
    <t>贝化品牌</t>
    <phoneticPr fontId="46" type="noConversion"/>
  </si>
  <si>
    <t>扣除点位和平台费的佣金金额</t>
    <phoneticPr fontId="46" type="noConversion"/>
  </si>
  <si>
    <t>扣除品牌平台费的佣金金额</t>
    <phoneticPr fontId="46" type="noConversion"/>
  </si>
  <si>
    <t>项目审核通过率</t>
    <phoneticPr fontId="46" type="noConversion"/>
  </si>
  <si>
    <t>垫佣GMV</t>
    <phoneticPr fontId="46" type="noConversion"/>
  </si>
  <si>
    <t>合计(亿)</t>
    <phoneticPr fontId="2" type="noConversion"/>
  </si>
  <si>
    <t>GMV(万元)</t>
    <phoneticPr fontId="2" type="noConversion"/>
  </si>
  <si>
    <t>垫拥贝GMV （万）</t>
    <phoneticPr fontId="2" type="noConversion"/>
  </si>
  <si>
    <t>应收转让规模（万）</t>
    <phoneticPr fontId="2" type="noConversion"/>
  </si>
  <si>
    <t>单均垫资额（元）</t>
    <phoneticPr fontId="2" type="noConversion"/>
  </si>
  <si>
    <t>（一）含税收入（万）</t>
    <phoneticPr fontId="2" type="noConversion"/>
  </si>
  <si>
    <t>（二）税后净收入（万）</t>
    <phoneticPr fontId="2" type="noConversion"/>
  </si>
  <si>
    <t>（三）变动成本（万）</t>
    <phoneticPr fontId="2" type="noConversion"/>
  </si>
  <si>
    <t>当月垫资资金成本（9.5%）</t>
    <phoneticPr fontId="2" type="noConversion"/>
  </si>
  <si>
    <r>
      <t>2020年从5月产生垫资资金的需求，</t>
    </r>
    <r>
      <rPr>
        <b/>
        <sz val="10"/>
        <color rgb="FFFF0000"/>
        <rFont val="等线"/>
        <family val="3"/>
        <charset val="134"/>
        <scheme val="minor"/>
      </rPr>
      <t>首月</t>
    </r>
    <r>
      <rPr>
        <b/>
        <sz val="10"/>
        <color theme="1"/>
        <rFont val="等线"/>
        <family val="3"/>
        <charset val="134"/>
        <scheme val="minor"/>
      </rPr>
      <t>需求额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</si>
</sst>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 * #,##0.00_ ;_ * \-#,##0.00_ ;_ * &quot;-&quot;??_ ;_ @_ "/>
    <numFmt numFmtId="176" formatCode="[$-409]mmm\-yy;@"/>
    <numFmt numFmtId="177" formatCode="0.0%"/>
    <numFmt numFmtId="178" formatCode="0.00_);[Red]\(0.00\)"/>
    <numFmt numFmtId="179" formatCode="_ * #,##0.0_ ;_ * \-#,##0.0_ ;_ * &quot;-&quot;??_ ;_ @_ "/>
    <numFmt numFmtId="180" formatCode="_ * #,##0_ ;_ * \-#,##0_ ;_ * &quot;-&quot;??_ ;_ @_ "/>
    <numFmt numFmtId="181" formatCode="_ * #,##0.000000_ ;_ * \-#,##0.000000_ ;_ * &quot;-&quot;??_ ;_ @_ "/>
    <numFmt numFmtId="182" formatCode="_ * #,##0.000_ ;_ * \-#,##0.000_ ;_ * &quot;-&quot;??_ ;_ @_ "/>
    <numFmt numFmtId="183" formatCode="yyyy&quot;年&quot;m&quot;月&quot;;@"/>
    <numFmt numFmtId="184" formatCode="0_);[Red]\(0\)"/>
    <numFmt numFmtId="185" formatCode="_ * #,##0.0000_ ;_ * \-#,##0.0000_ ;_ * &quot;-&quot;??_ ;_ @_ "/>
    <numFmt numFmtId="186" formatCode="0.00_ "/>
    <numFmt numFmtId="187" formatCode="0.0_ "/>
    <numFmt numFmtId="188" formatCode="0.0"/>
  </numFmts>
  <fonts count="4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等线"/>
      <family val="2"/>
      <scheme val="minor"/>
    </font>
    <font>
      <sz val="9"/>
      <name val="Arial"/>
      <family val="2"/>
    </font>
    <font>
      <b/>
      <sz val="9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8"/>
      <color theme="1"/>
      <name val="等线"/>
      <family val="2"/>
      <scheme val="minor"/>
    </font>
    <font>
      <sz val="8"/>
      <color rgb="FF000000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name val="微软雅黑"/>
      <family val="2"/>
      <charset val="134"/>
    </font>
    <font>
      <sz val="8"/>
      <name val="等线"/>
      <family val="2"/>
      <scheme val="minor"/>
    </font>
    <font>
      <sz val="8"/>
      <color rgb="FFFF0000"/>
      <name val="等线"/>
      <family val="2"/>
      <scheme val="minor"/>
    </font>
    <font>
      <b/>
      <sz val="8"/>
      <color theme="1"/>
      <name val="等线"/>
      <family val="2"/>
      <scheme val="minor"/>
    </font>
    <font>
      <b/>
      <sz val="8"/>
      <name val="等线"/>
      <family val="2"/>
      <scheme val="minor"/>
    </font>
    <font>
      <b/>
      <sz val="8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8"/>
      <color theme="4" tint="-0.249977111117893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FF0000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6"/>
      <color theme="2" tint="-0.499984740745262"/>
      <name val="微软雅黑"/>
      <family val="2"/>
      <charset val="134"/>
    </font>
    <font>
      <b/>
      <sz val="7"/>
      <color theme="2" tint="-0.499984740745262"/>
      <name val="微软雅黑"/>
      <family val="2"/>
      <charset val="134"/>
    </font>
    <font>
      <b/>
      <sz val="8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76" fontId="0" fillId="0" borderId="0"/>
    <xf numFmtId="43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1">
    <xf numFmtId="176" fontId="0" fillId="0" borderId="0" xfId="0"/>
    <xf numFmtId="176" fontId="4" fillId="2" borderId="0" xfId="0" applyFont="1" applyFill="1" applyAlignment="1">
      <alignment horizontal="center" readingOrder="1"/>
    </xf>
    <xf numFmtId="176" fontId="4" fillId="2" borderId="0" xfId="0" applyFont="1" applyFill="1"/>
    <xf numFmtId="176" fontId="3" fillId="2" borderId="1" xfId="0" applyFont="1" applyFill="1" applyBorder="1" applyAlignment="1">
      <alignment horizontal="left" wrapText="1" readingOrder="1"/>
    </xf>
    <xf numFmtId="176" fontId="4" fillId="2" borderId="1" xfId="0" applyFont="1" applyFill="1" applyBorder="1" applyAlignment="1">
      <alignment horizontal="center" readingOrder="1"/>
    </xf>
    <xf numFmtId="179" fontId="3" fillId="5" borderId="2" xfId="1" applyNumberFormat="1" applyFont="1" applyFill="1" applyBorder="1" applyAlignment="1">
      <alignment wrapText="1" readingOrder="1"/>
    </xf>
    <xf numFmtId="176" fontId="3" fillId="2" borderId="0" xfId="0" applyFont="1" applyFill="1" applyAlignment="1">
      <alignment horizontal="left" wrapText="1" readingOrder="1"/>
    </xf>
    <xf numFmtId="9" fontId="3" fillId="5" borderId="3" xfId="0" applyNumberFormat="1" applyFont="1" applyFill="1" applyBorder="1" applyAlignment="1">
      <alignment wrapText="1" readingOrder="1"/>
    </xf>
    <xf numFmtId="176" fontId="3" fillId="2" borderId="1" xfId="0" applyFont="1" applyFill="1" applyBorder="1" applyAlignment="1">
      <alignment horizontal="left" vertical="center" wrapText="1" indent="1" readingOrder="1"/>
    </xf>
    <xf numFmtId="180" fontId="3" fillId="5" borderId="2" xfId="1" applyNumberFormat="1" applyFont="1" applyFill="1" applyBorder="1" applyAlignment="1">
      <alignment horizontal="center" vertical="center" wrapText="1" readingOrder="1"/>
    </xf>
    <xf numFmtId="180" fontId="3" fillId="5" borderId="4" xfId="1" applyNumberFormat="1" applyFont="1" applyFill="1" applyBorder="1" applyAlignment="1">
      <alignment horizontal="center" vertical="center" wrapText="1" readingOrder="1"/>
    </xf>
    <xf numFmtId="176" fontId="3" fillId="5" borderId="5" xfId="0" applyFont="1" applyFill="1" applyBorder="1" applyAlignment="1">
      <alignment horizontal="center" vertical="center" wrapText="1" readingOrder="1"/>
    </xf>
    <xf numFmtId="176" fontId="3" fillId="2" borderId="0" xfId="0" applyFont="1" applyFill="1" applyAlignment="1">
      <alignment horizontal="left" vertical="center" wrapText="1" indent="1" readingOrder="1"/>
    </xf>
    <xf numFmtId="10" fontId="3" fillId="5" borderId="3" xfId="0" applyNumberFormat="1" applyFont="1" applyFill="1" applyBorder="1" applyAlignment="1">
      <alignment horizontal="center" wrapText="1" readingOrder="1"/>
    </xf>
    <xf numFmtId="10" fontId="3" fillId="5" borderId="6" xfId="0" applyNumberFormat="1" applyFont="1" applyFill="1" applyBorder="1" applyAlignment="1">
      <alignment horizontal="center" wrapText="1" readingOrder="1"/>
    </xf>
    <xf numFmtId="10" fontId="3" fillId="2" borderId="7" xfId="0" applyNumberFormat="1" applyFont="1" applyFill="1" applyBorder="1" applyAlignment="1">
      <alignment horizontal="center" wrapText="1" readingOrder="1"/>
    </xf>
    <xf numFmtId="9" fontId="3" fillId="5" borderId="3" xfId="0" applyNumberFormat="1" applyFont="1" applyFill="1" applyBorder="1" applyAlignment="1">
      <alignment horizontal="center" wrapText="1" readingOrder="1"/>
    </xf>
    <xf numFmtId="9" fontId="3" fillId="5" borderId="6" xfId="0" applyNumberFormat="1" applyFont="1" applyFill="1" applyBorder="1" applyAlignment="1">
      <alignment horizontal="center" wrapText="1" readingOrder="1"/>
    </xf>
    <xf numFmtId="9" fontId="3" fillId="2" borderId="7" xfId="0" applyNumberFormat="1" applyFont="1" applyFill="1" applyBorder="1" applyAlignment="1">
      <alignment horizontal="center" wrapText="1" readingOrder="1"/>
    </xf>
    <xf numFmtId="178" fontId="3" fillId="2" borderId="3" xfId="0" applyNumberFormat="1" applyFont="1" applyFill="1" applyBorder="1" applyAlignment="1">
      <alignment horizontal="center" wrapText="1" readingOrder="1"/>
    </xf>
    <xf numFmtId="178" fontId="3" fillId="2" borderId="6" xfId="2" applyNumberFormat="1" applyFont="1" applyFill="1" applyBorder="1" applyAlignment="1">
      <alignment horizontal="center" wrapText="1" readingOrder="1"/>
    </xf>
    <xf numFmtId="2" fontId="3" fillId="2" borderId="7" xfId="0" applyNumberFormat="1" applyFont="1" applyFill="1" applyBorder="1" applyAlignment="1">
      <alignment horizontal="center" wrapText="1" readingOrder="1"/>
    </xf>
    <xf numFmtId="2" fontId="8" fillId="2" borderId="3" xfId="0" applyNumberFormat="1" applyFont="1" applyFill="1" applyBorder="1" applyAlignment="1">
      <alignment horizontal="center" wrapText="1" readingOrder="1"/>
    </xf>
    <xf numFmtId="2" fontId="8" fillId="2" borderId="6" xfId="0" applyNumberFormat="1" applyFont="1" applyFill="1" applyBorder="1" applyAlignment="1">
      <alignment horizontal="center" wrapText="1" readingOrder="1"/>
    </xf>
    <xf numFmtId="2" fontId="8" fillId="2" borderId="7" xfId="0" applyNumberFormat="1" applyFont="1" applyFill="1" applyBorder="1" applyAlignment="1">
      <alignment horizontal="center" wrapText="1" readingOrder="1"/>
    </xf>
    <xf numFmtId="176" fontId="9" fillId="2" borderId="0" xfId="0" applyFont="1" applyFill="1" applyAlignment="1">
      <alignment horizontal="left" vertical="center" wrapText="1" readingOrder="1"/>
    </xf>
    <xf numFmtId="177" fontId="3" fillId="5" borderId="3" xfId="0" applyNumberFormat="1" applyFont="1" applyFill="1" applyBorder="1" applyAlignment="1">
      <alignment horizontal="center" wrapText="1" readingOrder="1"/>
    </xf>
    <xf numFmtId="177" fontId="3" fillId="5" borderId="6" xfId="0" applyNumberFormat="1" applyFont="1" applyFill="1" applyBorder="1" applyAlignment="1">
      <alignment horizontal="center" wrapText="1" readingOrder="1"/>
    </xf>
    <xf numFmtId="176" fontId="8" fillId="2" borderId="0" xfId="0" applyFont="1" applyFill="1" applyAlignment="1">
      <alignment horizontal="left" vertical="center" wrapText="1" readingOrder="1"/>
    </xf>
    <xf numFmtId="178" fontId="8" fillId="2" borderId="3" xfId="0" applyNumberFormat="1" applyFont="1" applyFill="1" applyBorder="1" applyAlignment="1">
      <alignment horizontal="center" wrapText="1" readingOrder="1"/>
    </xf>
    <xf numFmtId="176" fontId="8" fillId="2" borderId="6" xfId="0" applyNumberFormat="1" applyFont="1" applyFill="1" applyBorder="1" applyAlignment="1">
      <alignment horizontal="center" wrapText="1" readingOrder="1"/>
    </xf>
    <xf numFmtId="9" fontId="3" fillId="5" borderId="7" xfId="0" applyNumberFormat="1" applyFont="1" applyFill="1" applyBorder="1" applyAlignment="1">
      <alignment horizontal="center" wrapText="1" readingOrder="1"/>
    </xf>
    <xf numFmtId="176" fontId="10" fillId="2" borderId="0" xfId="0" applyFont="1" applyFill="1" applyAlignment="1">
      <alignment horizontal="left" vertical="center" wrapText="1" indent="1" readingOrder="1"/>
    </xf>
    <xf numFmtId="176" fontId="3" fillId="2" borderId="8" xfId="0" applyFont="1" applyFill="1" applyBorder="1" applyAlignment="1">
      <alignment horizontal="right" vertical="center" wrapText="1" readingOrder="1"/>
    </xf>
    <xf numFmtId="177" fontId="3" fillId="2" borderId="9" xfId="0" applyNumberFormat="1" applyFont="1" applyFill="1" applyBorder="1" applyAlignment="1">
      <alignment horizontal="center" wrapText="1" readingOrder="1"/>
    </xf>
    <xf numFmtId="9" fontId="3" fillId="2" borderId="10" xfId="0" applyNumberFormat="1" applyFont="1" applyFill="1" applyBorder="1" applyAlignment="1">
      <alignment horizontal="center" wrapText="1" readingOrder="1"/>
    </xf>
    <xf numFmtId="9" fontId="3" fillId="2" borderId="11" xfId="0" applyNumberFormat="1" applyFont="1" applyFill="1" applyBorder="1" applyAlignment="1">
      <alignment horizontal="center" wrapText="1" readingOrder="1"/>
    </xf>
    <xf numFmtId="43" fontId="3" fillId="6" borderId="3" xfId="2" applyFont="1" applyFill="1" applyBorder="1" applyAlignment="1">
      <alignment wrapText="1" readingOrder="1"/>
    </xf>
    <xf numFmtId="176" fontId="9" fillId="2" borderId="0" xfId="0" applyFont="1" applyFill="1" applyAlignment="1">
      <alignment horizontal="left" vertical="center" wrapText="1" indent="1" readingOrder="1"/>
    </xf>
    <xf numFmtId="2" fontId="9" fillId="2" borderId="3" xfId="0" applyNumberFormat="1" applyFont="1" applyFill="1" applyBorder="1" applyAlignment="1">
      <alignment horizontal="center" wrapText="1" readingOrder="1"/>
    </xf>
    <xf numFmtId="2" fontId="9" fillId="2" borderId="6" xfId="0" applyNumberFormat="1" applyFont="1" applyFill="1" applyBorder="1" applyAlignment="1">
      <alignment horizontal="center" wrapText="1" readingOrder="1"/>
    </xf>
    <xf numFmtId="2" fontId="9" fillId="2" borderId="7" xfId="0" applyNumberFormat="1" applyFont="1" applyFill="1" applyBorder="1" applyAlignment="1">
      <alignment horizontal="center" wrapText="1" readingOrder="1"/>
    </xf>
    <xf numFmtId="181" fontId="9" fillId="2" borderId="0" xfId="1" applyNumberFormat="1" applyFont="1" applyFill="1" applyAlignment="1">
      <alignment horizontal="left" vertical="center" wrapText="1" readingOrder="1"/>
    </xf>
    <xf numFmtId="177" fontId="10" fillId="5" borderId="3" xfId="0" applyNumberFormat="1" applyFont="1" applyFill="1" applyBorder="1" applyAlignment="1">
      <alignment horizontal="center" wrapText="1" readingOrder="1"/>
    </xf>
    <xf numFmtId="177" fontId="10" fillId="5" borderId="6" xfId="0" applyNumberFormat="1" applyFont="1" applyFill="1" applyBorder="1" applyAlignment="1">
      <alignment horizontal="center" wrapText="1" readingOrder="1"/>
    </xf>
    <xf numFmtId="177" fontId="10" fillId="2" borderId="7" xfId="0" applyNumberFormat="1" applyFont="1" applyFill="1" applyBorder="1" applyAlignment="1">
      <alignment horizontal="center" wrapText="1" readingOrder="1"/>
    </xf>
    <xf numFmtId="9" fontId="10" fillId="5" borderId="6" xfId="0" applyNumberFormat="1" applyFont="1" applyFill="1" applyBorder="1" applyAlignment="1">
      <alignment horizontal="center" wrapText="1" readingOrder="1"/>
    </xf>
    <xf numFmtId="9" fontId="10" fillId="2" borderId="7" xfId="0" applyNumberFormat="1" applyFont="1" applyFill="1" applyBorder="1" applyAlignment="1">
      <alignment horizontal="center" wrapText="1" readingOrder="1"/>
    </xf>
    <xf numFmtId="178" fontId="9" fillId="2" borderId="3" xfId="0" applyNumberFormat="1" applyFont="1" applyFill="1" applyBorder="1" applyAlignment="1">
      <alignment horizontal="center" wrapText="1" readingOrder="1"/>
    </xf>
    <xf numFmtId="176" fontId="10" fillId="2" borderId="0" xfId="0" applyFont="1" applyFill="1" applyBorder="1" applyAlignment="1">
      <alignment horizontal="right" vertical="center" wrapText="1" readingOrder="1"/>
    </xf>
    <xf numFmtId="177" fontId="10" fillId="2" borderId="3" xfId="0" applyNumberFormat="1" applyFont="1" applyFill="1" applyBorder="1" applyAlignment="1">
      <alignment horizontal="center" wrapText="1" readingOrder="1"/>
    </xf>
    <xf numFmtId="9" fontId="10" fillId="2" borderId="6" xfId="0" applyNumberFormat="1" applyFont="1" applyFill="1" applyBorder="1" applyAlignment="1">
      <alignment horizontal="center" wrapText="1" readingOrder="1"/>
    </xf>
    <xf numFmtId="176" fontId="9" fillId="2" borderId="3" xfId="0" applyNumberFormat="1" applyFont="1" applyFill="1" applyBorder="1" applyAlignment="1">
      <alignment horizontal="center" wrapText="1" readingOrder="1"/>
    </xf>
    <xf numFmtId="177" fontId="10" fillId="2" borderId="3" xfId="3" applyNumberFormat="1" applyFont="1" applyFill="1" applyBorder="1" applyAlignment="1">
      <alignment horizontal="center" wrapText="1" readingOrder="1"/>
    </xf>
    <xf numFmtId="43" fontId="9" fillId="2" borderId="3" xfId="1" applyFont="1" applyFill="1" applyBorder="1" applyAlignment="1">
      <alignment horizontal="center" wrapText="1" readingOrder="1"/>
    </xf>
    <xf numFmtId="43" fontId="9" fillId="2" borderId="6" xfId="1" applyFont="1" applyFill="1" applyBorder="1" applyAlignment="1">
      <alignment horizontal="center" wrapText="1" readingOrder="1"/>
    </xf>
    <xf numFmtId="43" fontId="9" fillId="2" borderId="7" xfId="1" applyFont="1" applyFill="1" applyBorder="1" applyAlignment="1">
      <alignment horizontal="center" wrapText="1" readingOrder="1"/>
    </xf>
    <xf numFmtId="176" fontId="4" fillId="0" borderId="0" xfId="0" applyFont="1" applyFill="1" applyAlignment="1">
      <alignment horizontal="center" readingOrder="1"/>
    </xf>
    <xf numFmtId="181" fontId="4" fillId="2" borderId="0" xfId="1" applyNumberFormat="1" applyFont="1" applyFill="1" applyAlignment="1"/>
    <xf numFmtId="176" fontId="0" fillId="2" borderId="0" xfId="0" applyFill="1"/>
    <xf numFmtId="176" fontId="3" fillId="2" borderId="0" xfId="0" applyFont="1" applyFill="1" applyBorder="1" applyAlignment="1">
      <alignment horizontal="center" vertical="center" wrapText="1" readingOrder="1"/>
    </xf>
    <xf numFmtId="3" fontId="3" fillId="2" borderId="0" xfId="0" applyNumberFormat="1" applyFont="1" applyFill="1" applyBorder="1" applyAlignment="1">
      <alignment horizontal="center" vertical="center" wrapText="1" readingOrder="1"/>
    </xf>
    <xf numFmtId="3" fontId="10" fillId="2" borderId="0" xfId="0" applyNumberFormat="1" applyFont="1" applyFill="1" applyBorder="1" applyAlignment="1">
      <alignment horizontal="center" vertical="center" wrapText="1" readingOrder="1"/>
    </xf>
    <xf numFmtId="176" fontId="5" fillId="2" borderId="0" xfId="0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horizontal="center" vertical="center" wrapText="1" readingOrder="1"/>
    </xf>
    <xf numFmtId="10" fontId="9" fillId="2" borderId="0" xfId="0" applyNumberFormat="1" applyFont="1" applyFill="1" applyBorder="1" applyAlignment="1">
      <alignment horizontal="center" vertical="center" wrapText="1" readingOrder="1"/>
    </xf>
    <xf numFmtId="176" fontId="9" fillId="2" borderId="0" xfId="0" applyFont="1" applyFill="1" applyBorder="1" applyAlignment="1">
      <alignment horizontal="center" vertical="center" wrapText="1" readingOrder="1"/>
    </xf>
    <xf numFmtId="43" fontId="3" fillId="2" borderId="0" xfId="1" applyFont="1" applyFill="1" applyBorder="1" applyAlignment="1">
      <alignment horizontal="right" vertical="center" wrapText="1" readingOrder="1"/>
    </xf>
    <xf numFmtId="43" fontId="10" fillId="2" borderId="0" xfId="1" applyFont="1" applyFill="1" applyBorder="1" applyAlignment="1">
      <alignment horizontal="right" vertical="center" wrapText="1" readingOrder="1"/>
    </xf>
    <xf numFmtId="176" fontId="3" fillId="4" borderId="0" xfId="0" applyFont="1" applyFill="1" applyBorder="1" applyAlignment="1">
      <alignment horizontal="center" vertical="center" wrapText="1" readingOrder="1"/>
    </xf>
    <xf numFmtId="43" fontId="3" fillId="4" borderId="0" xfId="1" applyFont="1" applyFill="1" applyBorder="1" applyAlignment="1">
      <alignment horizontal="center" vertical="center" wrapText="1" readingOrder="1"/>
    </xf>
    <xf numFmtId="43" fontId="10" fillId="4" borderId="0" xfId="1" applyFont="1" applyFill="1" applyBorder="1" applyAlignment="1">
      <alignment horizontal="center" vertical="center" wrapText="1" readingOrder="1"/>
    </xf>
    <xf numFmtId="176" fontId="10" fillId="4" borderId="0" xfId="0" applyFont="1" applyFill="1" applyBorder="1" applyAlignment="1">
      <alignment horizontal="center" vertical="center" wrapText="1" readingOrder="1"/>
    </xf>
    <xf numFmtId="43" fontId="3" fillId="2" borderId="0" xfId="1" applyFont="1" applyFill="1" applyBorder="1" applyAlignment="1">
      <alignment horizontal="center" vertical="center" wrapText="1" readingOrder="1"/>
    </xf>
    <xf numFmtId="176" fontId="3" fillId="3" borderId="1" xfId="0" applyFont="1" applyFill="1" applyBorder="1" applyAlignment="1">
      <alignment horizontal="center" vertical="center" wrapText="1" readingOrder="1"/>
    </xf>
    <xf numFmtId="176" fontId="3" fillId="4" borderId="8" xfId="0" applyFont="1" applyFill="1" applyBorder="1" applyAlignment="1">
      <alignment horizontal="center" vertical="center" wrapText="1" readingOrder="1"/>
    </xf>
    <xf numFmtId="43" fontId="3" fillId="4" borderId="8" xfId="1" applyFont="1" applyFill="1" applyBorder="1" applyAlignment="1">
      <alignment horizontal="center" vertical="center" wrapText="1" readingOrder="1"/>
    </xf>
    <xf numFmtId="176" fontId="6" fillId="4" borderId="8" xfId="0" applyFont="1" applyFill="1" applyBorder="1" applyAlignment="1">
      <alignment horizontal="center" vertical="center" wrapText="1" readingOrder="1"/>
    </xf>
    <xf numFmtId="176" fontId="11" fillId="2" borderId="0" xfId="0" applyFont="1" applyFill="1"/>
    <xf numFmtId="176" fontId="12" fillId="2" borderId="14" xfId="0" applyFont="1" applyFill="1" applyBorder="1" applyAlignment="1">
      <alignment horizontal="left" vertical="center" wrapText="1" indent="1" readingOrder="1"/>
    </xf>
    <xf numFmtId="176" fontId="16" fillId="2" borderId="14" xfId="0" applyFont="1" applyFill="1" applyBorder="1" applyAlignment="1">
      <alignment horizontal="left" vertical="center" wrapText="1" indent="1" readingOrder="1"/>
    </xf>
    <xf numFmtId="176" fontId="12" fillId="2" borderId="16" xfId="0" applyFont="1" applyFill="1" applyBorder="1" applyAlignment="1">
      <alignment horizontal="right" vertical="center" wrapText="1" readingOrder="1"/>
    </xf>
    <xf numFmtId="181" fontId="14" fillId="2" borderId="14" xfId="1" applyNumberFormat="1" applyFont="1" applyFill="1" applyBorder="1" applyAlignment="1">
      <alignment horizontal="left" vertical="center" wrapText="1" readingOrder="1"/>
    </xf>
    <xf numFmtId="176" fontId="17" fillId="2" borderId="0" xfId="0" applyFont="1" applyFill="1"/>
    <xf numFmtId="176" fontId="16" fillId="2" borderId="14" xfId="0" applyFont="1" applyFill="1" applyBorder="1" applyAlignment="1">
      <alignment horizontal="right" vertical="center" wrapText="1" readingOrder="1"/>
    </xf>
    <xf numFmtId="176" fontId="11" fillId="2" borderId="0" xfId="0" applyFont="1" applyFill="1" applyAlignment="1">
      <alignment horizontal="right"/>
    </xf>
    <xf numFmtId="10" fontId="12" fillId="5" borderId="15" xfId="0" applyNumberFormat="1" applyFont="1" applyFill="1" applyBorder="1" applyAlignment="1">
      <alignment horizontal="right" wrapText="1"/>
    </xf>
    <xf numFmtId="43" fontId="12" fillId="2" borderId="15" xfId="1" applyFont="1" applyFill="1" applyBorder="1" applyAlignment="1">
      <alignment horizontal="right" wrapText="1"/>
    </xf>
    <xf numFmtId="10" fontId="12" fillId="2" borderId="15" xfId="0" applyNumberFormat="1" applyFont="1" applyFill="1" applyBorder="1" applyAlignment="1">
      <alignment horizontal="right" wrapText="1"/>
    </xf>
    <xf numFmtId="43" fontId="13" fillId="2" borderId="15" xfId="1" applyFont="1" applyFill="1" applyBorder="1" applyAlignment="1">
      <alignment horizontal="right" wrapText="1"/>
    </xf>
    <xf numFmtId="43" fontId="14" fillId="2" borderId="15" xfId="1" applyFont="1" applyFill="1" applyBorder="1" applyAlignment="1">
      <alignment horizontal="right" wrapText="1"/>
    </xf>
    <xf numFmtId="177" fontId="12" fillId="5" borderId="15" xfId="0" applyNumberFormat="1" applyFont="1" applyFill="1" applyBorder="1" applyAlignment="1">
      <alignment horizontal="right" wrapText="1"/>
    </xf>
    <xf numFmtId="177" fontId="12" fillId="2" borderId="15" xfId="3" applyNumberFormat="1" applyFont="1" applyFill="1" applyBorder="1" applyAlignment="1">
      <alignment horizontal="right" wrapText="1"/>
    </xf>
    <xf numFmtId="9" fontId="12" fillId="5" borderId="15" xfId="0" applyNumberFormat="1" applyFont="1" applyFill="1" applyBorder="1" applyAlignment="1">
      <alignment horizontal="right" wrapText="1"/>
    </xf>
    <xf numFmtId="177" fontId="12" fillId="2" borderId="17" xfId="0" applyNumberFormat="1" applyFont="1" applyFill="1" applyBorder="1" applyAlignment="1">
      <alignment horizontal="right" wrapText="1"/>
    </xf>
    <xf numFmtId="43" fontId="16" fillId="2" borderId="15" xfId="1" applyFont="1" applyFill="1" applyBorder="1" applyAlignment="1">
      <alignment horizontal="right" wrapText="1"/>
    </xf>
    <xf numFmtId="176" fontId="16" fillId="2" borderId="14" xfId="0" applyFont="1" applyFill="1" applyBorder="1" applyAlignment="1">
      <alignment horizontal="left" vertical="center" wrapText="1" readingOrder="1"/>
    </xf>
    <xf numFmtId="176" fontId="15" fillId="2" borderId="14" xfId="0" applyFont="1" applyFill="1" applyBorder="1" applyAlignment="1">
      <alignment horizontal="left" vertical="center" wrapText="1" readingOrder="1"/>
    </xf>
    <xf numFmtId="176" fontId="18" fillId="2" borderId="0" xfId="0" applyFont="1" applyFill="1"/>
    <xf numFmtId="10" fontId="16" fillId="2" borderId="15" xfId="4" applyNumberFormat="1" applyFont="1" applyFill="1" applyBorder="1" applyAlignment="1">
      <alignment horizontal="right" wrapText="1"/>
    </xf>
    <xf numFmtId="176" fontId="19" fillId="2" borderId="0" xfId="0" applyFont="1" applyFill="1"/>
    <xf numFmtId="176" fontId="20" fillId="2" borderId="0" xfId="0" applyFont="1" applyFill="1"/>
    <xf numFmtId="43" fontId="15" fillId="5" borderId="15" xfId="1" applyFont="1" applyFill="1" applyBorder="1" applyAlignment="1">
      <alignment horizontal="right" wrapText="1"/>
    </xf>
    <xf numFmtId="176" fontId="15" fillId="2" borderId="14" xfId="0" applyFont="1" applyFill="1" applyBorder="1" applyAlignment="1">
      <alignment horizontal="left" vertical="center" wrapText="1" indent="1" readingOrder="1"/>
    </xf>
    <xf numFmtId="177" fontId="15" fillId="0" borderId="15" xfId="0" applyNumberFormat="1" applyFont="1" applyFill="1" applyBorder="1" applyAlignment="1">
      <alignment horizontal="right" wrapText="1"/>
    </xf>
    <xf numFmtId="177" fontId="12" fillId="2" borderId="15" xfId="0" applyNumberFormat="1" applyFont="1" applyFill="1" applyBorder="1" applyAlignment="1">
      <alignment horizontal="right" wrapText="1"/>
    </xf>
    <xf numFmtId="10" fontId="12" fillId="2" borderId="19" xfId="0" applyNumberFormat="1" applyFont="1" applyFill="1" applyBorder="1" applyAlignment="1">
      <alignment horizontal="center" wrapText="1"/>
    </xf>
    <xf numFmtId="176" fontId="12" fillId="2" borderId="19" xfId="0" applyFont="1" applyFill="1" applyBorder="1" applyAlignment="1">
      <alignment horizontal="center" vertical="center" wrapText="1"/>
    </xf>
    <xf numFmtId="2" fontId="12" fillId="2" borderId="19" xfId="0" applyNumberFormat="1" applyFont="1" applyFill="1" applyBorder="1" applyAlignment="1">
      <alignment horizontal="center" wrapText="1"/>
    </xf>
    <xf numFmtId="2" fontId="21" fillId="5" borderId="19" xfId="0" applyNumberFormat="1" applyFont="1" applyFill="1" applyBorder="1" applyAlignment="1">
      <alignment horizontal="center" wrapText="1"/>
    </xf>
    <xf numFmtId="2" fontId="14" fillId="2" borderId="19" xfId="0" applyNumberFormat="1" applyFont="1" applyFill="1" applyBorder="1" applyAlignment="1">
      <alignment horizontal="center" wrapText="1"/>
    </xf>
    <xf numFmtId="2" fontId="16" fillId="2" borderId="19" xfId="0" applyNumberFormat="1" applyFont="1" applyFill="1" applyBorder="1" applyAlignment="1">
      <alignment horizontal="center" wrapText="1"/>
    </xf>
    <xf numFmtId="2" fontId="15" fillId="6" borderId="19" xfId="0" applyNumberFormat="1" applyFont="1" applyFill="1" applyBorder="1" applyAlignment="1">
      <alignment horizontal="center" wrapText="1"/>
    </xf>
    <xf numFmtId="10" fontId="15" fillId="5" borderId="15" xfId="0" applyNumberFormat="1" applyFont="1" applyFill="1" applyBorder="1" applyAlignment="1">
      <alignment horizontal="center" wrapText="1"/>
    </xf>
    <xf numFmtId="10" fontId="16" fillId="2" borderId="15" xfId="4" applyNumberFormat="1" applyFont="1" applyFill="1" applyBorder="1" applyAlignment="1">
      <alignment horizontal="center" wrapText="1"/>
    </xf>
    <xf numFmtId="43" fontId="12" fillId="2" borderId="15" xfId="1" applyFont="1" applyFill="1" applyBorder="1" applyAlignment="1">
      <alignment horizontal="center" wrapText="1"/>
    </xf>
    <xf numFmtId="177" fontId="12" fillId="2" borderId="15" xfId="3" applyNumberFormat="1" applyFont="1" applyFill="1" applyBorder="1" applyAlignment="1">
      <alignment horizontal="center" wrapText="1"/>
    </xf>
    <xf numFmtId="10" fontId="12" fillId="2" borderId="15" xfId="0" applyNumberFormat="1" applyFont="1" applyFill="1" applyBorder="1" applyAlignment="1">
      <alignment horizontal="center" wrapText="1"/>
    </xf>
    <xf numFmtId="177" fontId="12" fillId="2" borderId="17" xfId="0" applyNumberFormat="1" applyFont="1" applyFill="1" applyBorder="1" applyAlignment="1">
      <alignment horizontal="center" wrapText="1"/>
    </xf>
    <xf numFmtId="176" fontId="11" fillId="2" borderId="0" xfId="0" applyFont="1" applyFill="1" applyAlignment="1">
      <alignment horizontal="center"/>
    </xf>
    <xf numFmtId="177" fontId="16" fillId="2" borderId="15" xfId="0" applyNumberFormat="1" applyFont="1" applyFill="1" applyBorder="1" applyAlignment="1">
      <alignment horizontal="right" wrapText="1"/>
    </xf>
    <xf numFmtId="176" fontId="13" fillId="2" borderId="14" xfId="0" applyFont="1" applyFill="1" applyBorder="1" applyAlignment="1">
      <alignment horizontal="left" vertical="center" wrapText="1" readingOrder="1"/>
    </xf>
    <xf numFmtId="43" fontId="13" fillId="2" borderId="15" xfId="1" applyFont="1" applyFill="1" applyBorder="1" applyAlignment="1">
      <alignment horizontal="center" wrapText="1"/>
    </xf>
    <xf numFmtId="43" fontId="13" fillId="2" borderId="15" xfId="1" applyNumberFormat="1" applyFont="1" applyFill="1" applyBorder="1" applyAlignment="1">
      <alignment horizontal="center" wrapText="1"/>
    </xf>
    <xf numFmtId="176" fontId="14" fillId="2" borderId="14" xfId="0" applyFont="1" applyFill="1" applyBorder="1" applyAlignment="1">
      <alignment horizontal="left" vertical="center" wrapText="1" readingOrder="1"/>
    </xf>
    <xf numFmtId="43" fontId="14" fillId="2" borderId="15" xfId="1" applyFont="1" applyFill="1" applyBorder="1" applyAlignment="1">
      <alignment horizontal="center" wrapText="1"/>
    </xf>
    <xf numFmtId="10" fontId="16" fillId="2" borderId="15" xfId="0" applyNumberFormat="1" applyFont="1" applyFill="1" applyBorder="1" applyAlignment="1">
      <alignment horizontal="right" wrapText="1"/>
    </xf>
    <xf numFmtId="10" fontId="16" fillId="2" borderId="15" xfId="0" applyNumberFormat="1" applyFont="1" applyFill="1" applyBorder="1" applyAlignment="1">
      <alignment horizontal="center" wrapText="1"/>
    </xf>
    <xf numFmtId="176" fontId="11" fillId="2" borderId="20" xfId="0" applyFont="1" applyFill="1" applyBorder="1"/>
    <xf numFmtId="176" fontId="11" fillId="2" borderId="21" xfId="0" applyFont="1" applyFill="1" applyBorder="1"/>
    <xf numFmtId="176" fontId="19" fillId="2" borderId="22" xfId="0" applyFont="1" applyFill="1" applyBorder="1"/>
    <xf numFmtId="176" fontId="21" fillId="2" borderId="16" xfId="0" applyFont="1" applyFill="1" applyBorder="1" applyAlignment="1">
      <alignment horizontal="left" vertical="center" wrapText="1" indent="1" readingOrder="1"/>
    </xf>
    <xf numFmtId="43" fontId="21" fillId="2" borderId="17" xfId="1" applyFont="1" applyFill="1" applyBorder="1" applyAlignment="1">
      <alignment horizontal="right" wrapText="1"/>
    </xf>
    <xf numFmtId="2" fontId="21" fillId="2" borderId="23" xfId="0" applyNumberFormat="1" applyFont="1" applyFill="1" applyBorder="1" applyAlignment="1">
      <alignment horizontal="center" wrapText="1"/>
    </xf>
    <xf numFmtId="176" fontId="12" fillId="7" borderId="12" xfId="0" applyFont="1" applyFill="1" applyBorder="1" applyAlignment="1">
      <alignment horizontal="left" vertical="center" wrapText="1" indent="1" readingOrder="1"/>
    </xf>
    <xf numFmtId="180" fontId="12" fillId="7" borderId="13" xfId="1" applyNumberFormat="1" applyFont="1" applyFill="1" applyBorder="1" applyAlignment="1">
      <alignment horizontal="right" vertical="center" wrapText="1"/>
    </xf>
    <xf numFmtId="176" fontId="12" fillId="7" borderId="18" xfId="0" applyFont="1" applyFill="1" applyBorder="1" applyAlignment="1">
      <alignment horizontal="center" vertical="center" wrapText="1"/>
    </xf>
    <xf numFmtId="176" fontId="26" fillId="0" borderId="0" xfId="0" applyFont="1"/>
    <xf numFmtId="176" fontId="26" fillId="2" borderId="0" xfId="0" applyFont="1" applyFill="1"/>
    <xf numFmtId="9" fontId="26" fillId="2" borderId="0" xfId="4" applyFont="1" applyFill="1" applyAlignment="1"/>
    <xf numFmtId="176" fontId="26" fillId="2" borderId="1" xfId="0" applyFont="1" applyFill="1" applyBorder="1"/>
    <xf numFmtId="9" fontId="26" fillId="2" borderId="1" xfId="4" applyFont="1" applyFill="1" applyBorder="1" applyAlignment="1"/>
    <xf numFmtId="176" fontId="26" fillId="2" borderId="13" xfId="0" applyFont="1" applyFill="1" applyBorder="1"/>
    <xf numFmtId="176" fontId="26" fillId="2" borderId="0" xfId="0" applyFont="1" applyFill="1" applyBorder="1"/>
    <xf numFmtId="176" fontId="26" fillId="2" borderId="15" xfId="0" applyFont="1" applyFill="1" applyBorder="1"/>
    <xf numFmtId="9" fontId="26" fillId="2" borderId="0" xfId="4" applyFont="1" applyFill="1" applyBorder="1" applyAlignment="1"/>
    <xf numFmtId="176" fontId="26" fillId="2" borderId="0" xfId="0" applyFont="1" applyFill="1" applyBorder="1" applyAlignment="1">
      <alignment horizontal="center"/>
    </xf>
    <xf numFmtId="176" fontId="26" fillId="2" borderId="15" xfId="0" applyFont="1" applyFill="1" applyBorder="1" applyAlignment="1">
      <alignment horizontal="center"/>
    </xf>
    <xf numFmtId="176" fontId="25" fillId="2" borderId="14" xfId="0" applyFont="1" applyFill="1" applyBorder="1" applyAlignment="1">
      <alignment horizontal="left" indent="1"/>
    </xf>
    <xf numFmtId="176" fontId="26" fillId="5" borderId="0" xfId="0" applyFont="1" applyFill="1"/>
    <xf numFmtId="176" fontId="24" fillId="2" borderId="0" xfId="0" applyFont="1" applyFill="1"/>
    <xf numFmtId="176" fontId="26" fillId="2" borderId="14" xfId="0" applyFont="1" applyFill="1" applyBorder="1"/>
    <xf numFmtId="176" fontId="26" fillId="2" borderId="16" xfId="0" applyFont="1" applyFill="1" applyBorder="1"/>
    <xf numFmtId="176" fontId="26" fillId="2" borderId="8" xfId="0" applyFont="1" applyFill="1" applyBorder="1"/>
    <xf numFmtId="176" fontId="24" fillId="2" borderId="0" xfId="0" applyFont="1" applyFill="1" applyBorder="1" applyAlignment="1">
      <alignment horizontal="center"/>
    </xf>
    <xf numFmtId="176" fontId="24" fillId="2" borderId="15" xfId="0" applyFont="1" applyFill="1" applyBorder="1" applyAlignment="1">
      <alignment horizontal="center"/>
    </xf>
    <xf numFmtId="9" fontId="24" fillId="2" borderId="0" xfId="4" applyFont="1" applyFill="1" applyBorder="1" applyAlignment="1">
      <alignment horizontal="center"/>
    </xf>
    <xf numFmtId="43" fontId="24" fillId="2" borderId="0" xfId="1" applyFont="1" applyFill="1" applyBorder="1" applyAlignment="1">
      <alignment horizontal="center"/>
    </xf>
    <xf numFmtId="43" fontId="24" fillId="2" borderId="15" xfId="1" applyFont="1" applyFill="1" applyBorder="1" applyAlignment="1">
      <alignment horizontal="center"/>
    </xf>
    <xf numFmtId="43" fontId="24" fillId="2" borderId="25" xfId="1" applyFont="1" applyFill="1" applyBorder="1" applyAlignment="1">
      <alignment horizontal="center"/>
    </xf>
    <xf numFmtId="43" fontId="24" fillId="2" borderId="26" xfId="1" applyFont="1" applyFill="1" applyBorder="1" applyAlignment="1">
      <alignment horizontal="center"/>
    </xf>
    <xf numFmtId="43" fontId="24" fillId="2" borderId="0" xfId="4" applyNumberFormat="1" applyFont="1" applyFill="1" applyBorder="1" applyAlignment="1">
      <alignment horizontal="center"/>
    </xf>
    <xf numFmtId="43" fontId="24" fillId="2" borderId="15" xfId="4" applyNumberFormat="1" applyFont="1" applyFill="1" applyBorder="1" applyAlignment="1">
      <alignment horizontal="center"/>
    </xf>
    <xf numFmtId="176" fontId="24" fillId="0" borderId="0" xfId="0" applyFont="1" applyBorder="1" applyAlignment="1">
      <alignment horizontal="center"/>
    </xf>
    <xf numFmtId="43" fontId="26" fillId="2" borderId="8" xfId="1" applyFont="1" applyFill="1" applyBorder="1" applyAlignment="1">
      <alignment horizontal="left" vertical="center"/>
    </xf>
    <xf numFmtId="43" fontId="26" fillId="2" borderId="17" xfId="1" applyFont="1" applyFill="1" applyBorder="1" applyAlignment="1">
      <alignment horizontal="left" vertical="center"/>
    </xf>
    <xf numFmtId="176" fontId="22" fillId="8" borderId="12" xfId="0" applyFont="1" applyFill="1" applyBorder="1"/>
    <xf numFmtId="176" fontId="23" fillId="2" borderId="24" xfId="0" applyFont="1" applyFill="1" applyBorder="1" applyAlignment="1">
      <alignment horizontal="left" vertical="center" indent="1"/>
    </xf>
    <xf numFmtId="176" fontId="24" fillId="2" borderId="14" xfId="0" applyFont="1" applyFill="1" applyBorder="1" applyAlignment="1">
      <alignment horizontal="left" vertical="center" indent="1"/>
    </xf>
    <xf numFmtId="176" fontId="23" fillId="2" borderId="14" xfId="0" applyFont="1" applyFill="1" applyBorder="1" applyAlignment="1">
      <alignment horizontal="left" vertical="center" indent="1"/>
    </xf>
    <xf numFmtId="176" fontId="25" fillId="2" borderId="16" xfId="0" applyFont="1" applyFill="1" applyBorder="1" applyAlignment="1">
      <alignment horizontal="left" vertical="center" indent="1"/>
    </xf>
    <xf numFmtId="10" fontId="26" fillId="5" borderId="0" xfId="4" applyNumberFormat="1" applyFont="1" applyFill="1" applyBorder="1" applyAlignment="1">
      <alignment horizontal="center"/>
    </xf>
    <xf numFmtId="176" fontId="28" fillId="2" borderId="0" xfId="0" applyFont="1" applyFill="1" applyAlignment="1">
      <alignment vertical="top"/>
    </xf>
    <xf numFmtId="176" fontId="29" fillId="2" borderId="0" xfId="0" applyFont="1" applyFill="1" applyAlignment="1">
      <alignment horizontal="left" vertical="center"/>
    </xf>
    <xf numFmtId="176" fontId="27" fillId="2" borderId="0" xfId="0" quotePrefix="1" applyFont="1" applyFill="1" applyBorder="1"/>
    <xf numFmtId="176" fontId="23" fillId="9" borderId="1" xfId="0" applyFont="1" applyFill="1" applyBorder="1" applyAlignment="1">
      <alignment horizontal="center"/>
    </xf>
    <xf numFmtId="176" fontId="23" fillId="9" borderId="13" xfId="0" applyFont="1" applyFill="1" applyBorder="1" applyAlignment="1">
      <alignment horizontal="center"/>
    </xf>
    <xf numFmtId="176" fontId="26" fillId="2" borderId="0" xfId="0" applyFont="1" applyFill="1" applyAlignment="1">
      <alignment horizontal="left"/>
    </xf>
    <xf numFmtId="176" fontId="23" fillId="2" borderId="14" xfId="0" applyFont="1" applyFill="1" applyBorder="1"/>
    <xf numFmtId="9" fontId="27" fillId="2" borderId="0" xfId="4" applyFont="1" applyFill="1" applyBorder="1" applyAlignment="1"/>
    <xf numFmtId="176" fontId="23" fillId="2" borderId="16" xfId="0" applyFont="1" applyFill="1" applyBorder="1"/>
    <xf numFmtId="10" fontId="26" fillId="5" borderId="8" xfId="4" applyNumberFormat="1" applyFont="1" applyFill="1" applyBorder="1" applyAlignment="1">
      <alignment horizontal="center"/>
    </xf>
    <xf numFmtId="10" fontId="26" fillId="5" borderId="17" xfId="4" applyNumberFormat="1" applyFont="1" applyFill="1" applyBorder="1" applyAlignment="1">
      <alignment horizontal="center"/>
    </xf>
    <xf numFmtId="2" fontId="21" fillId="5" borderId="23" xfId="0" applyNumberFormat="1" applyFont="1" applyFill="1" applyBorder="1" applyAlignment="1">
      <alignment horizontal="center" wrapText="1"/>
    </xf>
    <xf numFmtId="179" fontId="32" fillId="5" borderId="25" xfId="1" applyNumberFormat="1" applyFont="1" applyFill="1" applyBorder="1" applyAlignment="1">
      <alignment horizontal="center"/>
    </xf>
    <xf numFmtId="2" fontId="21" fillId="2" borderId="19" xfId="0" applyNumberFormat="1" applyFont="1" applyFill="1" applyBorder="1" applyAlignment="1">
      <alignment horizontal="center" wrapText="1"/>
    </xf>
    <xf numFmtId="176" fontId="24" fillId="2" borderId="27" xfId="0" applyFont="1" applyFill="1" applyBorder="1" applyAlignment="1">
      <alignment horizontal="left" vertical="center" indent="1"/>
    </xf>
    <xf numFmtId="176" fontId="23" fillId="9" borderId="28" xfId="0" applyFont="1" applyFill="1" applyBorder="1" applyAlignment="1">
      <alignment horizontal="center"/>
    </xf>
    <xf numFmtId="176" fontId="23" fillId="9" borderId="29" xfId="0" applyFont="1" applyFill="1" applyBorder="1" applyAlignment="1">
      <alignment horizontal="center"/>
    </xf>
    <xf numFmtId="43" fontId="24" fillId="9" borderId="15" xfId="1" applyFont="1" applyFill="1" applyBorder="1" applyAlignment="1">
      <alignment horizontal="center"/>
    </xf>
    <xf numFmtId="2" fontId="26" fillId="2" borderId="15" xfId="1" applyNumberFormat="1" applyFont="1" applyFill="1" applyBorder="1" applyAlignment="1">
      <alignment horizontal="center" vertical="center"/>
    </xf>
    <xf numFmtId="2" fontId="26" fillId="2" borderId="15" xfId="4" applyNumberFormat="1" applyFont="1" applyFill="1" applyBorder="1" applyAlignment="1">
      <alignment horizontal="center" vertical="center"/>
    </xf>
    <xf numFmtId="2" fontId="26" fillId="2" borderId="17" xfId="4" applyNumberFormat="1" applyFont="1" applyFill="1" applyBorder="1" applyAlignment="1">
      <alignment horizontal="center" vertical="center"/>
    </xf>
    <xf numFmtId="178" fontId="26" fillId="5" borderId="0" xfId="1" applyNumberFormat="1" applyFont="1" applyFill="1" applyBorder="1" applyAlignment="1">
      <alignment horizontal="center"/>
    </xf>
    <xf numFmtId="180" fontId="32" fillId="2" borderId="0" xfId="1" applyNumberFormat="1" applyFont="1" applyFill="1" applyBorder="1" applyAlignment="1">
      <alignment horizontal="center"/>
    </xf>
    <xf numFmtId="180" fontId="24" fillId="2" borderId="0" xfId="1" applyNumberFormat="1" applyFont="1" applyFill="1" applyBorder="1" applyAlignment="1">
      <alignment horizontal="center"/>
    </xf>
    <xf numFmtId="180" fontId="24" fillId="2" borderId="15" xfId="1" applyNumberFormat="1" applyFont="1" applyFill="1" applyBorder="1" applyAlignment="1">
      <alignment horizontal="center"/>
    </xf>
    <xf numFmtId="43" fontId="12" fillId="5" borderId="15" xfId="1" applyFont="1" applyFill="1" applyBorder="1" applyAlignment="1">
      <alignment horizontal="right" wrapText="1"/>
    </xf>
    <xf numFmtId="43" fontId="12" fillId="2" borderId="15" xfId="0" applyNumberFormat="1" applyFont="1" applyFill="1" applyBorder="1" applyAlignment="1">
      <alignment horizontal="right" wrapText="1"/>
    </xf>
    <xf numFmtId="9" fontId="12" fillId="2" borderId="15" xfId="0" applyNumberFormat="1" applyFont="1" applyFill="1" applyBorder="1" applyAlignment="1">
      <alignment horizontal="right" wrapText="1"/>
    </xf>
    <xf numFmtId="43" fontId="12" fillId="5" borderId="15" xfId="1" applyFont="1" applyFill="1" applyBorder="1" applyAlignment="1">
      <alignment horizontal="right" vertical="center" wrapText="1"/>
    </xf>
    <xf numFmtId="43" fontId="12" fillId="5" borderId="15" xfId="0" applyNumberFormat="1" applyFont="1" applyFill="1" applyBorder="1" applyAlignment="1">
      <alignment horizontal="right" vertical="center" wrapText="1"/>
    </xf>
    <xf numFmtId="176" fontId="16" fillId="2" borderId="14" xfId="0" applyFont="1" applyFill="1" applyBorder="1" applyAlignment="1">
      <alignment horizontal="center" vertical="center" wrapText="1" readingOrder="1"/>
    </xf>
    <xf numFmtId="10" fontId="21" fillId="2" borderId="15" xfId="0" applyNumberFormat="1" applyFont="1" applyFill="1" applyBorder="1" applyAlignment="1">
      <alignment horizontal="center" wrapText="1"/>
    </xf>
    <xf numFmtId="9" fontId="21" fillId="2" borderId="15" xfId="0" applyNumberFormat="1" applyFont="1" applyFill="1" applyBorder="1" applyAlignment="1">
      <alignment horizontal="right" wrapText="1"/>
    </xf>
    <xf numFmtId="176" fontId="15" fillId="2" borderId="16" xfId="0" applyFont="1" applyFill="1" applyBorder="1" applyAlignment="1">
      <alignment horizontal="center" vertical="center" wrapText="1" readingOrder="1"/>
    </xf>
    <xf numFmtId="177" fontId="15" fillId="2" borderId="17" xfId="0" applyNumberFormat="1" applyFont="1" applyFill="1" applyBorder="1" applyAlignment="1">
      <alignment horizontal="right" wrapText="1"/>
    </xf>
    <xf numFmtId="177" fontId="15" fillId="2" borderId="17" xfId="0" applyNumberFormat="1" applyFont="1" applyFill="1" applyBorder="1" applyAlignment="1">
      <alignment horizontal="center" wrapText="1"/>
    </xf>
    <xf numFmtId="43" fontId="16" fillId="5" borderId="15" xfId="1" applyFont="1" applyFill="1" applyBorder="1" applyAlignment="1">
      <alignment horizontal="right" wrapText="1"/>
    </xf>
    <xf numFmtId="177" fontId="16" fillId="0" borderId="15" xfId="0" applyNumberFormat="1" applyFont="1" applyFill="1" applyBorder="1" applyAlignment="1">
      <alignment horizontal="right" wrapText="1"/>
    </xf>
    <xf numFmtId="43" fontId="34" fillId="5" borderId="25" xfId="1" applyFont="1" applyFill="1" applyBorder="1" applyAlignment="1">
      <alignment horizontal="center"/>
    </xf>
    <xf numFmtId="43" fontId="34" fillId="2" borderId="26" xfId="1" applyFont="1" applyFill="1" applyBorder="1" applyAlignment="1">
      <alignment horizontal="center"/>
    </xf>
    <xf numFmtId="10" fontId="24" fillId="2" borderId="0" xfId="4" applyNumberFormat="1" applyFont="1" applyFill="1" applyAlignment="1"/>
    <xf numFmtId="43" fontId="34" fillId="2" borderId="0" xfId="4" applyNumberFormat="1" applyFont="1" applyFill="1" applyBorder="1" applyAlignment="1">
      <alignment horizontal="center"/>
    </xf>
    <xf numFmtId="43" fontId="35" fillId="9" borderId="17" xfId="1" applyFont="1" applyFill="1" applyBorder="1" applyAlignment="1">
      <alignment horizontal="left" vertical="center"/>
    </xf>
    <xf numFmtId="43" fontId="11" fillId="2" borderId="0" xfId="1" applyFont="1" applyFill="1" applyAlignment="1"/>
    <xf numFmtId="182" fontId="12" fillId="2" borderId="15" xfId="1" applyNumberFormat="1" applyFont="1" applyFill="1" applyBorder="1" applyAlignment="1">
      <alignment horizontal="center" wrapText="1"/>
    </xf>
    <xf numFmtId="176" fontId="36" fillId="2" borderId="0" xfId="0" applyFont="1" applyFill="1" applyBorder="1"/>
    <xf numFmtId="176" fontId="12" fillId="7" borderId="42" xfId="0" applyFont="1" applyFill="1" applyBorder="1" applyAlignment="1">
      <alignment horizontal="left" vertical="center" wrapText="1" indent="1" readingOrder="1"/>
    </xf>
    <xf numFmtId="183" fontId="12" fillId="7" borderId="43" xfId="1" applyNumberFormat="1" applyFont="1" applyFill="1" applyBorder="1" applyAlignment="1">
      <alignment horizontal="right" vertical="center" wrapText="1"/>
    </xf>
    <xf numFmtId="183" fontId="12" fillId="7" borderId="44" xfId="1" applyNumberFormat="1" applyFont="1" applyFill="1" applyBorder="1" applyAlignment="1">
      <alignment horizontal="right" vertical="center" wrapText="1"/>
    </xf>
    <xf numFmtId="176" fontId="12" fillId="2" borderId="45" xfId="0" applyFont="1" applyFill="1" applyBorder="1" applyAlignment="1">
      <alignment horizontal="left" vertical="center" wrapText="1" indent="1" readingOrder="1"/>
    </xf>
    <xf numFmtId="10" fontId="12" fillId="2" borderId="46" xfId="0" applyNumberFormat="1" applyFont="1" applyFill="1" applyBorder="1" applyAlignment="1">
      <alignment horizontal="right" wrapText="1"/>
    </xf>
    <xf numFmtId="10" fontId="12" fillId="2" borderId="47" xfId="0" applyNumberFormat="1" applyFont="1" applyFill="1" applyBorder="1" applyAlignment="1">
      <alignment horizontal="right" wrapText="1"/>
    </xf>
    <xf numFmtId="43" fontId="12" fillId="2" borderId="46" xfId="1" applyFont="1" applyFill="1" applyBorder="1" applyAlignment="1">
      <alignment horizontal="right" wrapText="1"/>
    </xf>
    <xf numFmtId="43" fontId="12" fillId="2" borderId="47" xfId="1" applyFont="1" applyFill="1" applyBorder="1" applyAlignment="1">
      <alignment horizontal="right" wrapText="1"/>
    </xf>
    <xf numFmtId="43" fontId="14" fillId="2" borderId="46" xfId="1" applyFont="1" applyFill="1" applyBorder="1" applyAlignment="1">
      <alignment horizontal="right" wrapText="1"/>
    </xf>
    <xf numFmtId="43" fontId="14" fillId="2" borderId="47" xfId="1" applyFont="1" applyFill="1" applyBorder="1" applyAlignment="1">
      <alignment horizontal="right" wrapText="1"/>
    </xf>
    <xf numFmtId="181" fontId="14" fillId="2" borderId="45" xfId="1" applyNumberFormat="1" applyFont="1" applyFill="1" applyBorder="1" applyAlignment="1">
      <alignment horizontal="left" vertical="center" wrapText="1" readingOrder="1"/>
    </xf>
    <xf numFmtId="176" fontId="16" fillId="2" borderId="45" xfId="0" applyFont="1" applyFill="1" applyBorder="1" applyAlignment="1">
      <alignment horizontal="left" vertical="center" wrapText="1" readingOrder="1"/>
    </xf>
    <xf numFmtId="43" fontId="16" fillId="2" borderId="46" xfId="1" applyFont="1" applyFill="1" applyBorder="1" applyAlignment="1">
      <alignment horizontal="right" wrapText="1"/>
    </xf>
    <xf numFmtId="43" fontId="16" fillId="2" borderId="47" xfId="1" applyFont="1" applyFill="1" applyBorder="1" applyAlignment="1">
      <alignment horizontal="right" wrapText="1"/>
    </xf>
    <xf numFmtId="176" fontId="14" fillId="2" borderId="45" xfId="0" applyFont="1" applyFill="1" applyBorder="1" applyAlignment="1">
      <alignment horizontal="left" vertical="center" wrapText="1" readingOrder="1"/>
    </xf>
    <xf numFmtId="176" fontId="16" fillId="2" borderId="45" xfId="0" applyFont="1" applyFill="1" applyBorder="1" applyAlignment="1">
      <alignment horizontal="center" vertical="center" wrapText="1" readingOrder="1"/>
    </xf>
    <xf numFmtId="10" fontId="16" fillId="2" borderId="46" xfId="4" applyNumberFormat="1" applyFont="1" applyFill="1" applyBorder="1" applyAlignment="1">
      <alignment horizontal="right" wrapText="1"/>
    </xf>
    <xf numFmtId="10" fontId="16" fillId="2" borderId="47" xfId="4" applyNumberFormat="1" applyFont="1" applyFill="1" applyBorder="1" applyAlignment="1">
      <alignment horizontal="right" wrapText="1"/>
    </xf>
    <xf numFmtId="176" fontId="13" fillId="2" borderId="45" xfId="0" applyFont="1" applyFill="1" applyBorder="1" applyAlignment="1">
      <alignment horizontal="left" vertical="center" wrapText="1" readingOrder="1"/>
    </xf>
    <xf numFmtId="43" fontId="13" fillId="2" borderId="46" xfId="1" applyFont="1" applyFill="1" applyBorder="1" applyAlignment="1">
      <alignment horizontal="right" wrapText="1"/>
    </xf>
    <xf numFmtId="43" fontId="13" fillId="2" borderId="47" xfId="1" applyFont="1" applyFill="1" applyBorder="1" applyAlignment="1">
      <alignment horizontal="right" wrapText="1"/>
    </xf>
    <xf numFmtId="177" fontId="12" fillId="2" borderId="46" xfId="3" applyNumberFormat="1" applyFont="1" applyFill="1" applyBorder="1" applyAlignment="1">
      <alignment horizontal="right" wrapText="1"/>
    </xf>
    <xf numFmtId="176" fontId="16" fillId="2" borderId="45" xfId="0" applyFont="1" applyFill="1" applyBorder="1" applyAlignment="1">
      <alignment horizontal="left" vertical="center" wrapText="1" indent="1" readingOrder="1"/>
    </xf>
    <xf numFmtId="9" fontId="12" fillId="2" borderId="46" xfId="0" applyNumberFormat="1" applyFont="1" applyFill="1" applyBorder="1" applyAlignment="1">
      <alignment horizontal="right" wrapText="1"/>
    </xf>
    <xf numFmtId="43" fontId="12" fillId="2" borderId="46" xfId="0" applyNumberFormat="1" applyFont="1" applyFill="1" applyBorder="1" applyAlignment="1">
      <alignment horizontal="right" wrapText="1"/>
    </xf>
    <xf numFmtId="43" fontId="12" fillId="2" borderId="47" xfId="0" applyNumberFormat="1" applyFont="1" applyFill="1" applyBorder="1" applyAlignment="1">
      <alignment horizontal="right" wrapText="1"/>
    </xf>
    <xf numFmtId="176" fontId="22" fillId="2" borderId="0" xfId="0" applyFont="1" applyFill="1" applyAlignment="1">
      <alignment horizontal="left" vertical="center"/>
    </xf>
    <xf numFmtId="176" fontId="14" fillId="2" borderId="48" xfId="0" applyFont="1" applyFill="1" applyBorder="1" applyAlignment="1">
      <alignment horizontal="left" vertical="center" wrapText="1" indent="1" readingOrder="1"/>
    </xf>
    <xf numFmtId="43" fontId="14" fillId="2" borderId="49" xfId="1" applyFont="1" applyFill="1" applyBorder="1" applyAlignment="1">
      <alignment horizontal="right" wrapText="1"/>
    </xf>
    <xf numFmtId="43" fontId="14" fillId="2" borderId="50" xfId="1" applyFont="1" applyFill="1" applyBorder="1" applyAlignment="1">
      <alignment horizontal="right" wrapText="1"/>
    </xf>
    <xf numFmtId="177" fontId="12" fillId="2" borderId="46" xfId="0" applyNumberFormat="1" applyFont="1" applyFill="1" applyBorder="1" applyAlignment="1">
      <alignment horizontal="right" wrapText="1"/>
    </xf>
    <xf numFmtId="43" fontId="11" fillId="2" borderId="0" xfId="1" applyFont="1" applyFill="1" applyAlignment="1">
      <alignment horizontal="right"/>
    </xf>
    <xf numFmtId="177" fontId="12" fillId="2" borderId="46" xfId="4" applyNumberFormat="1" applyFont="1" applyFill="1" applyBorder="1" applyAlignment="1">
      <alignment horizontal="right" wrapText="1"/>
    </xf>
    <xf numFmtId="185" fontId="26" fillId="2" borderId="8" xfId="1" applyNumberFormat="1" applyFont="1" applyFill="1" applyBorder="1" applyAlignment="1">
      <alignment horizontal="left" vertical="center"/>
    </xf>
    <xf numFmtId="176" fontId="23" fillId="2" borderId="51" xfId="0" applyFont="1" applyFill="1" applyBorder="1" applyAlignment="1">
      <alignment horizontal="left" vertical="center" indent="1"/>
    </xf>
    <xf numFmtId="43" fontId="24" fillId="2" borderId="52" xfId="1" applyFont="1" applyFill="1" applyBorder="1" applyAlignment="1">
      <alignment horizontal="center"/>
    </xf>
    <xf numFmtId="43" fontId="24" fillId="2" borderId="52" xfId="4" applyNumberFormat="1" applyFont="1" applyFill="1" applyBorder="1" applyAlignment="1">
      <alignment horizontal="center"/>
    </xf>
    <xf numFmtId="176" fontId="23" fillId="2" borderId="51" xfId="0" applyFont="1" applyFill="1" applyBorder="1"/>
    <xf numFmtId="176" fontId="23" fillId="2" borderId="54" xfId="0" applyFont="1" applyFill="1" applyBorder="1"/>
    <xf numFmtId="176" fontId="16" fillId="2" borderId="48" xfId="0" applyFont="1" applyFill="1" applyBorder="1" applyAlignment="1">
      <alignment horizontal="center" vertical="center" wrapText="1" readingOrder="1"/>
    </xf>
    <xf numFmtId="177" fontId="16" fillId="2" borderId="49" xfId="0" applyNumberFormat="1" applyFont="1" applyFill="1" applyBorder="1" applyAlignment="1">
      <alignment horizontal="right" wrapText="1"/>
    </xf>
    <xf numFmtId="177" fontId="16" fillId="2" borderId="50" xfId="0" applyNumberFormat="1" applyFont="1" applyFill="1" applyBorder="1" applyAlignment="1">
      <alignment horizontal="right" wrapText="1"/>
    </xf>
    <xf numFmtId="176" fontId="36" fillId="2" borderId="0" xfId="0" applyFont="1" applyFill="1" applyBorder="1" applyAlignment="1">
      <alignment wrapText="1"/>
    </xf>
    <xf numFmtId="176" fontId="38" fillId="2" borderId="0" xfId="0" applyFont="1" applyFill="1" applyBorder="1"/>
    <xf numFmtId="176" fontId="37" fillId="2" borderId="30" xfId="0" applyFont="1" applyFill="1" applyBorder="1" applyAlignment="1">
      <alignment horizontal="left" vertical="center" indent="1"/>
    </xf>
    <xf numFmtId="176" fontId="37" fillId="2" borderId="0" xfId="0" applyFont="1" applyFill="1" applyBorder="1"/>
    <xf numFmtId="176" fontId="38" fillId="2" borderId="34" xfId="0" applyFont="1" applyFill="1" applyBorder="1" applyAlignment="1">
      <alignment horizontal="left" indent="2"/>
    </xf>
    <xf numFmtId="176" fontId="38" fillId="2" borderId="30" xfId="0" applyFont="1" applyFill="1" applyBorder="1" applyAlignment="1">
      <alignment horizontal="left" indent="2"/>
    </xf>
    <xf numFmtId="176" fontId="37" fillId="2" borderId="31" xfId="0" applyFont="1" applyFill="1" applyBorder="1" applyAlignment="1">
      <alignment vertical="center" wrapText="1"/>
    </xf>
    <xf numFmtId="184" fontId="37" fillId="2" borderId="32" xfId="0" applyNumberFormat="1" applyFont="1" applyFill="1" applyBorder="1" applyAlignment="1">
      <alignment horizontal="center"/>
    </xf>
    <xf numFmtId="176" fontId="38" fillId="2" borderId="30" xfId="0" applyFont="1" applyFill="1" applyBorder="1"/>
    <xf numFmtId="10" fontId="21" fillId="5" borderId="37" xfId="4" applyNumberFormat="1" applyFont="1" applyFill="1" applyBorder="1" applyAlignment="1">
      <alignment horizontal="center"/>
    </xf>
    <xf numFmtId="177" fontId="38" fillId="5" borderId="30" xfId="4" applyNumberFormat="1" applyFont="1" applyFill="1" applyBorder="1" applyAlignment="1"/>
    <xf numFmtId="176" fontId="38" fillId="2" borderId="40" xfId="0" applyFont="1" applyFill="1" applyBorder="1"/>
    <xf numFmtId="10" fontId="38" fillId="5" borderId="40" xfId="4" applyNumberFormat="1" applyFont="1" applyFill="1" applyBorder="1" applyAlignment="1"/>
    <xf numFmtId="10" fontId="38" fillId="5" borderId="30" xfId="4" applyNumberFormat="1" applyFont="1" applyFill="1" applyBorder="1" applyAlignment="1"/>
    <xf numFmtId="43" fontId="16" fillId="2" borderId="49" xfId="1" applyFont="1" applyFill="1" applyBorder="1" applyAlignment="1">
      <alignment horizontal="right" wrapText="1"/>
    </xf>
    <xf numFmtId="10" fontId="38" fillId="5" borderId="37" xfId="4" applyNumberFormat="1" applyFont="1" applyFill="1" applyBorder="1" applyAlignment="1">
      <alignment vertical="center"/>
    </xf>
    <xf numFmtId="10" fontId="38" fillId="2" borderId="38" xfId="4" applyNumberFormat="1" applyFont="1" applyFill="1" applyBorder="1" applyAlignment="1">
      <alignment vertical="center"/>
    </xf>
    <xf numFmtId="176" fontId="38" fillId="2" borderId="30" xfId="0" applyFont="1" applyFill="1" applyBorder="1" applyAlignment="1">
      <alignment vertical="center"/>
    </xf>
    <xf numFmtId="176" fontId="38" fillId="2" borderId="35" xfId="0" applyFont="1" applyFill="1" applyBorder="1" applyAlignment="1">
      <alignment vertical="center"/>
    </xf>
    <xf numFmtId="184" fontId="38" fillId="2" borderId="30" xfId="0" applyNumberFormat="1" applyFont="1" applyFill="1" applyBorder="1" applyAlignment="1">
      <alignment vertical="center"/>
    </xf>
    <xf numFmtId="184" fontId="38" fillId="2" borderId="35" xfId="0" applyNumberFormat="1" applyFont="1" applyFill="1" applyBorder="1" applyAlignment="1">
      <alignment vertical="center"/>
    </xf>
    <xf numFmtId="176" fontId="38" fillId="2" borderId="40" xfId="0" applyFont="1" applyFill="1" applyBorder="1" applyAlignment="1">
      <alignment vertical="center"/>
    </xf>
    <xf numFmtId="176" fontId="38" fillId="2" borderId="41" xfId="0" applyFont="1" applyFill="1" applyBorder="1" applyAlignment="1">
      <alignment vertical="center"/>
    </xf>
    <xf numFmtId="176" fontId="36" fillId="2" borderId="0" xfId="0" applyFont="1" applyFill="1" applyBorder="1" applyAlignment="1">
      <alignment vertical="center"/>
    </xf>
    <xf numFmtId="43" fontId="37" fillId="5" borderId="30" xfId="1" applyFont="1" applyFill="1" applyBorder="1" applyAlignment="1">
      <alignment vertical="center"/>
    </xf>
    <xf numFmtId="184" fontId="37" fillId="2" borderId="32" xfId="0" applyNumberFormat="1" applyFont="1" applyFill="1" applyBorder="1" applyAlignment="1">
      <alignment vertical="center"/>
    </xf>
    <xf numFmtId="184" fontId="37" fillId="2" borderId="33" xfId="0" applyNumberFormat="1" applyFont="1" applyFill="1" applyBorder="1" applyAlignment="1">
      <alignment vertical="center"/>
    </xf>
    <xf numFmtId="10" fontId="38" fillId="5" borderId="30" xfId="4" applyNumberFormat="1" applyFont="1" applyFill="1" applyBorder="1" applyAlignment="1">
      <alignment vertical="center"/>
    </xf>
    <xf numFmtId="10" fontId="38" fillId="2" borderId="35" xfId="4" applyNumberFormat="1" applyFont="1" applyFill="1" applyBorder="1" applyAlignment="1">
      <alignment vertical="center"/>
    </xf>
    <xf numFmtId="184" fontId="37" fillId="2" borderId="30" xfId="0" applyNumberFormat="1" applyFont="1" applyFill="1" applyBorder="1" applyAlignment="1">
      <alignment vertical="center"/>
    </xf>
    <xf numFmtId="184" fontId="37" fillId="2" borderId="35" xfId="0" applyNumberFormat="1" applyFont="1" applyFill="1" applyBorder="1" applyAlignment="1">
      <alignment vertical="center"/>
    </xf>
    <xf numFmtId="176" fontId="37" fillId="2" borderId="34" xfId="0" applyFont="1" applyFill="1" applyBorder="1" applyAlignment="1">
      <alignment horizontal="left" vertical="center"/>
    </xf>
    <xf numFmtId="176" fontId="37" fillId="2" borderId="32" xfId="0" applyFont="1" applyFill="1" applyBorder="1"/>
    <xf numFmtId="176" fontId="38" fillId="2" borderId="58" xfId="0" applyFont="1" applyFill="1" applyBorder="1" applyAlignment="1">
      <alignment horizontal="left" indent="2"/>
    </xf>
    <xf numFmtId="176" fontId="38" fillId="2" borderId="59" xfId="0" applyFont="1" applyFill="1" applyBorder="1"/>
    <xf numFmtId="10" fontId="38" fillId="5" borderId="59" xfId="4" applyNumberFormat="1" applyFont="1" applyFill="1" applyBorder="1" applyAlignment="1"/>
    <xf numFmtId="176" fontId="38" fillId="2" borderId="59" xfId="0" applyFont="1" applyFill="1" applyBorder="1" applyAlignment="1">
      <alignment vertical="center"/>
    </xf>
    <xf numFmtId="176" fontId="38" fillId="2" borderId="60" xfId="0" applyFont="1" applyFill="1" applyBorder="1" applyAlignment="1">
      <alignment vertical="center"/>
    </xf>
    <xf numFmtId="176" fontId="27" fillId="2" borderId="62" xfId="0" applyFont="1" applyFill="1" applyBorder="1"/>
    <xf numFmtId="176" fontId="37" fillId="2" borderId="64" xfId="0" applyFont="1" applyFill="1" applyBorder="1"/>
    <xf numFmtId="176" fontId="40" fillId="2" borderId="0" xfId="0" applyFont="1" applyFill="1" applyBorder="1" applyAlignment="1">
      <alignment horizontal="left" vertical="center" wrapText="1"/>
    </xf>
    <xf numFmtId="176" fontId="37" fillId="2" borderId="30" xfId="0" applyFont="1" applyFill="1" applyBorder="1" applyAlignment="1">
      <alignment horizontal="left"/>
    </xf>
    <xf numFmtId="176" fontId="37" fillId="2" borderId="30" xfId="0" applyFont="1" applyFill="1" applyBorder="1" applyAlignment="1">
      <alignment horizontal="right" vertical="center"/>
    </xf>
    <xf numFmtId="10" fontId="21" fillId="5" borderId="37" xfId="4" applyNumberFormat="1" applyFont="1" applyFill="1" applyBorder="1" applyAlignment="1">
      <alignment vertical="center"/>
    </xf>
    <xf numFmtId="176" fontId="38" fillId="2" borderId="67" xfId="0" applyFont="1" applyFill="1" applyBorder="1"/>
    <xf numFmtId="177" fontId="38" fillId="5" borderId="67" xfId="4" applyNumberFormat="1" applyFont="1" applyFill="1" applyBorder="1" applyAlignment="1"/>
    <xf numFmtId="176" fontId="38" fillId="2" borderId="67" xfId="0" applyFont="1" applyFill="1" applyBorder="1" applyAlignment="1">
      <alignment vertical="center"/>
    </xf>
    <xf numFmtId="176" fontId="38" fillId="2" borderId="65" xfId="0" applyFont="1" applyFill="1" applyBorder="1"/>
    <xf numFmtId="176" fontId="37" fillId="2" borderId="69" xfId="0" applyFont="1" applyFill="1" applyBorder="1" applyAlignment="1">
      <alignment horizontal="center"/>
    </xf>
    <xf numFmtId="17" fontId="37" fillId="2" borderId="69" xfId="0" applyNumberFormat="1" applyFont="1" applyFill="1" applyBorder="1" applyAlignment="1">
      <alignment vertical="center"/>
    </xf>
    <xf numFmtId="176" fontId="38" fillId="2" borderId="59" xfId="0" applyFont="1" applyFill="1" applyBorder="1" applyAlignment="1">
      <alignment horizontal="left" indent="2"/>
    </xf>
    <xf numFmtId="43" fontId="38" fillId="5" borderId="59" xfId="1" applyFont="1" applyFill="1" applyBorder="1" applyAlignment="1"/>
    <xf numFmtId="176" fontId="38" fillId="2" borderId="69" xfId="0" applyFont="1" applyFill="1" applyBorder="1"/>
    <xf numFmtId="176" fontId="37" fillId="2" borderId="69" xfId="0" applyFont="1" applyFill="1" applyBorder="1"/>
    <xf numFmtId="10" fontId="37" fillId="2" borderId="69" xfId="4" applyNumberFormat="1" applyFont="1" applyFill="1" applyBorder="1" applyAlignment="1">
      <alignment vertical="center"/>
    </xf>
    <xf numFmtId="43" fontId="38" fillId="5" borderId="65" xfId="1" applyFont="1" applyFill="1" applyBorder="1" applyAlignment="1"/>
    <xf numFmtId="176" fontId="38" fillId="2" borderId="65" xfId="0" applyFont="1" applyFill="1" applyBorder="1" applyAlignment="1">
      <alignment vertical="center"/>
    </xf>
    <xf numFmtId="176" fontId="38" fillId="2" borderId="66" xfId="0" applyFont="1" applyFill="1" applyBorder="1" applyAlignment="1">
      <alignment vertical="center"/>
    </xf>
    <xf numFmtId="176" fontId="38" fillId="2" borderId="69" xfId="0" applyFont="1" applyFill="1" applyBorder="1" applyAlignment="1">
      <alignment vertical="center"/>
    </xf>
    <xf numFmtId="184" fontId="38" fillId="2" borderId="59" xfId="1" applyNumberFormat="1" applyFont="1" applyFill="1" applyBorder="1" applyAlignment="1">
      <alignment vertical="center"/>
    </xf>
    <xf numFmtId="176" fontId="37" fillId="2" borderId="39" xfId="0" applyFont="1" applyFill="1" applyBorder="1"/>
    <xf numFmtId="176" fontId="37" fillId="2" borderId="61" xfId="0" applyFont="1" applyFill="1" applyBorder="1"/>
    <xf numFmtId="43" fontId="38" fillId="5" borderId="62" xfId="1" applyFont="1" applyFill="1" applyBorder="1" applyAlignment="1"/>
    <xf numFmtId="176" fontId="27" fillId="2" borderId="62" xfId="0" applyFont="1" applyFill="1" applyBorder="1" applyAlignment="1">
      <alignment vertical="center"/>
    </xf>
    <xf numFmtId="176" fontId="38" fillId="2" borderId="62" xfId="0" applyFont="1" applyFill="1" applyBorder="1" applyAlignment="1">
      <alignment vertical="center"/>
    </xf>
    <xf numFmtId="176" fontId="38" fillId="2" borderId="63" xfId="0" applyFont="1" applyFill="1" applyBorder="1" applyAlignment="1">
      <alignment vertical="center"/>
    </xf>
    <xf numFmtId="176" fontId="38" fillId="2" borderId="69" xfId="0" applyFont="1" applyFill="1" applyBorder="1" applyAlignment="1">
      <alignment horizontal="left" indent="2"/>
    </xf>
    <xf numFmtId="10" fontId="38" fillId="5" borderId="69" xfId="4" applyNumberFormat="1" applyFont="1" applyFill="1" applyBorder="1" applyAlignment="1"/>
    <xf numFmtId="176" fontId="37" fillId="2" borderId="72" xfId="0" applyFont="1" applyFill="1" applyBorder="1"/>
    <xf numFmtId="176" fontId="38" fillId="2" borderId="73" xfId="0" applyFont="1" applyFill="1" applyBorder="1" applyAlignment="1">
      <alignment vertical="center"/>
    </xf>
    <xf numFmtId="176" fontId="37" fillId="2" borderId="74" xfId="0" applyFont="1" applyFill="1" applyBorder="1"/>
    <xf numFmtId="176" fontId="38" fillId="2" borderId="75" xfId="0" applyFont="1" applyFill="1" applyBorder="1" applyAlignment="1">
      <alignment vertical="center"/>
    </xf>
    <xf numFmtId="176" fontId="37" fillId="2" borderId="58" xfId="0" applyFont="1" applyFill="1" applyBorder="1"/>
    <xf numFmtId="176" fontId="38" fillId="2" borderId="74" xfId="0" applyFont="1" applyFill="1" applyBorder="1" applyAlignment="1">
      <alignment horizontal="left" indent="2"/>
    </xf>
    <xf numFmtId="17" fontId="37" fillId="2" borderId="75" xfId="0" applyNumberFormat="1" applyFont="1" applyFill="1" applyBorder="1" applyAlignment="1">
      <alignment horizontal="left" vertical="center" indent="1"/>
    </xf>
    <xf numFmtId="176" fontId="41" fillId="7" borderId="12" xfId="0" applyFont="1" applyFill="1" applyBorder="1" applyAlignment="1">
      <alignment horizontal="left" vertical="center" wrapText="1"/>
    </xf>
    <xf numFmtId="176" fontId="40" fillId="7" borderId="1" xfId="0" applyFont="1" applyFill="1" applyBorder="1" applyAlignment="1">
      <alignment horizontal="left" vertical="center" wrapText="1"/>
    </xf>
    <xf numFmtId="176" fontId="40" fillId="7" borderId="13" xfId="0" applyFont="1" applyFill="1" applyBorder="1" applyAlignment="1">
      <alignment horizontal="left" vertical="center" wrapText="1"/>
    </xf>
    <xf numFmtId="43" fontId="37" fillId="2" borderId="30" xfId="1" applyFont="1" applyFill="1" applyBorder="1" applyAlignment="1">
      <alignment horizontal="center"/>
    </xf>
    <xf numFmtId="176" fontId="38" fillId="2" borderId="76" xfId="0" applyFont="1" applyFill="1" applyBorder="1" applyAlignment="1">
      <alignment horizontal="left" indent="2"/>
    </xf>
    <xf numFmtId="176" fontId="38" fillId="2" borderId="77" xfId="0" applyFont="1" applyFill="1" applyBorder="1"/>
    <xf numFmtId="10" fontId="38" fillId="5" borderId="77" xfId="4" applyNumberFormat="1" applyFont="1" applyFill="1" applyBorder="1" applyAlignment="1"/>
    <xf numFmtId="176" fontId="27" fillId="2" borderId="77" xfId="0" applyFont="1" applyFill="1" applyBorder="1" applyAlignment="1">
      <alignment vertical="center"/>
    </xf>
    <xf numFmtId="176" fontId="38" fillId="2" borderId="77" xfId="0" applyFont="1" applyFill="1" applyBorder="1" applyAlignment="1">
      <alignment vertical="center"/>
    </xf>
    <xf numFmtId="176" fontId="38" fillId="2" borderId="78" xfId="0" applyFont="1" applyFill="1" applyBorder="1" applyAlignment="1">
      <alignment vertical="center"/>
    </xf>
    <xf numFmtId="176" fontId="40" fillId="2" borderId="0" xfId="0" applyFont="1" applyFill="1" applyBorder="1"/>
    <xf numFmtId="176" fontId="24" fillId="9" borderId="12" xfId="0" applyFont="1" applyFill="1" applyBorder="1" applyAlignment="1">
      <alignment horizontal="left" vertical="center" indent="1"/>
    </xf>
    <xf numFmtId="17" fontId="23" fillId="9" borderId="56" xfId="0" applyNumberFormat="1" applyFont="1" applyFill="1" applyBorder="1" applyAlignment="1">
      <alignment vertical="center"/>
    </xf>
    <xf numFmtId="176" fontId="44" fillId="9" borderId="29" xfId="0" applyFont="1" applyFill="1" applyBorder="1" applyAlignment="1">
      <alignment horizontal="center" vertical="center"/>
    </xf>
    <xf numFmtId="176" fontId="22" fillId="9" borderId="27" xfId="0" applyFont="1" applyFill="1" applyBorder="1"/>
    <xf numFmtId="176" fontId="26" fillId="9" borderId="29" xfId="0" applyFont="1" applyFill="1" applyBorder="1" applyAlignment="1">
      <alignment horizontal="center"/>
    </xf>
    <xf numFmtId="176" fontId="40" fillId="2" borderId="0" xfId="0" applyFont="1" applyFill="1" applyBorder="1" applyAlignment="1">
      <alignment vertical="center"/>
    </xf>
    <xf numFmtId="176" fontId="38" fillId="2" borderId="36" xfId="0" applyFont="1" applyFill="1" applyBorder="1"/>
    <xf numFmtId="176" fontId="23" fillId="10" borderId="56" xfId="0" applyFont="1" applyFill="1" applyBorder="1" applyAlignment="1">
      <alignment horizontal="center"/>
    </xf>
    <xf numFmtId="43" fontId="24" fillId="10" borderId="69" xfId="1" applyFont="1" applyFill="1" applyBorder="1" applyAlignment="1"/>
    <xf numFmtId="43" fontId="24" fillId="10" borderId="59" xfId="1" applyFont="1" applyFill="1" applyBorder="1" applyAlignment="1"/>
    <xf numFmtId="10" fontId="24" fillId="10" borderId="59" xfId="4" applyNumberFormat="1" applyFont="1" applyFill="1" applyBorder="1" applyAlignment="1"/>
    <xf numFmtId="43" fontId="24" fillId="10" borderId="65" xfId="1" applyFont="1" applyFill="1" applyBorder="1" applyAlignment="1"/>
    <xf numFmtId="10" fontId="24" fillId="10" borderId="37" xfId="4" applyNumberFormat="1" applyFont="1" applyFill="1" applyBorder="1" applyAlignment="1"/>
    <xf numFmtId="176" fontId="41" fillId="10" borderId="32" xfId="0" applyFont="1" applyFill="1" applyBorder="1" applyAlignment="1">
      <alignment horizontal="right" vertical="center"/>
    </xf>
    <xf numFmtId="43" fontId="40" fillId="10" borderId="30" xfId="1" applyFont="1" applyFill="1" applyBorder="1" applyAlignment="1"/>
    <xf numFmtId="43" fontId="40" fillId="10" borderId="37" xfId="1" applyFont="1" applyFill="1" applyBorder="1" applyAlignment="1"/>
    <xf numFmtId="176" fontId="36" fillId="10" borderId="79" xfId="0" applyFont="1" applyFill="1" applyBorder="1"/>
    <xf numFmtId="176" fontId="36" fillId="10" borderId="79" xfId="0" applyFont="1" applyFill="1" applyBorder="1" applyAlignment="1">
      <alignment vertical="center"/>
    </xf>
    <xf numFmtId="176" fontId="36" fillId="10" borderId="81" xfId="0" applyFont="1" applyFill="1" applyBorder="1"/>
    <xf numFmtId="176" fontId="23" fillId="10" borderId="82" xfId="0" applyFont="1" applyFill="1" applyBorder="1" applyAlignment="1">
      <alignment horizontal="left" vertical="center" wrapText="1"/>
    </xf>
    <xf numFmtId="176" fontId="24" fillId="10" borderId="56" xfId="0" applyFont="1" applyFill="1" applyBorder="1"/>
    <xf numFmtId="17" fontId="23" fillId="10" borderId="56" xfId="0" applyNumberFormat="1" applyFont="1" applyFill="1" applyBorder="1" applyAlignment="1">
      <alignment vertical="center"/>
    </xf>
    <xf numFmtId="17" fontId="23" fillId="10" borderId="57" xfId="0" applyNumberFormat="1" applyFont="1" applyFill="1" applyBorder="1" applyAlignment="1">
      <alignment horizontal="left" vertical="center" indent="1"/>
    </xf>
    <xf numFmtId="176" fontId="36" fillId="10" borderId="0" xfId="0" applyFont="1" applyFill="1" applyBorder="1"/>
    <xf numFmtId="176" fontId="36" fillId="10" borderId="83" xfId="0" applyFont="1" applyFill="1" applyBorder="1"/>
    <xf numFmtId="176" fontId="24" fillId="10" borderId="68" xfId="0" applyFont="1" applyFill="1" applyBorder="1"/>
    <xf numFmtId="176" fontId="24" fillId="10" borderId="69" xfId="0" applyFont="1" applyFill="1" applyBorder="1"/>
    <xf numFmtId="43" fontId="24" fillId="10" borderId="69" xfId="1" applyFont="1" applyFill="1" applyBorder="1" applyAlignment="1">
      <alignment vertical="center"/>
    </xf>
    <xf numFmtId="43" fontId="24" fillId="10" borderId="75" xfId="1" applyFont="1" applyFill="1" applyBorder="1" applyAlignment="1">
      <alignment vertical="center"/>
    </xf>
    <xf numFmtId="176" fontId="24" fillId="10" borderId="71" xfId="0" applyFont="1" applyFill="1" applyBorder="1"/>
    <xf numFmtId="176" fontId="24" fillId="10" borderId="59" xfId="0" applyFont="1" applyFill="1" applyBorder="1"/>
    <xf numFmtId="43" fontId="24" fillId="10" borderId="59" xfId="1" applyFont="1" applyFill="1" applyBorder="1" applyAlignment="1">
      <alignment vertical="center"/>
    </xf>
    <xf numFmtId="43" fontId="24" fillId="10" borderId="60" xfId="1" applyFont="1" applyFill="1" applyBorder="1" applyAlignment="1">
      <alignment vertical="center"/>
    </xf>
    <xf numFmtId="176" fontId="27" fillId="10" borderId="69" xfId="0" quotePrefix="1" applyFont="1" applyFill="1" applyBorder="1"/>
    <xf numFmtId="10" fontId="24" fillId="10" borderId="59" xfId="4" applyNumberFormat="1" applyFont="1" applyFill="1" applyBorder="1" applyAlignment="1">
      <alignment vertical="center"/>
    </xf>
    <xf numFmtId="10" fontId="24" fillId="10" borderId="60" xfId="4" applyNumberFormat="1" applyFont="1" applyFill="1" applyBorder="1" applyAlignment="1">
      <alignment vertical="center"/>
    </xf>
    <xf numFmtId="176" fontId="24" fillId="10" borderId="84" xfId="0" applyFont="1" applyFill="1" applyBorder="1"/>
    <xf numFmtId="176" fontId="24" fillId="10" borderId="65" xfId="0" applyFont="1" applyFill="1" applyBorder="1"/>
    <xf numFmtId="43" fontId="24" fillId="10" borderId="65" xfId="1" applyFont="1" applyFill="1" applyBorder="1" applyAlignment="1">
      <alignment vertical="center"/>
    </xf>
    <xf numFmtId="43" fontId="24" fillId="10" borderId="66" xfId="1" applyFont="1" applyFill="1" applyBorder="1" applyAlignment="1">
      <alignment vertical="center"/>
    </xf>
    <xf numFmtId="176" fontId="24" fillId="10" borderId="85" xfId="0" applyFont="1" applyFill="1" applyBorder="1"/>
    <xf numFmtId="176" fontId="24" fillId="10" borderId="37" xfId="0" applyFont="1" applyFill="1" applyBorder="1"/>
    <xf numFmtId="43" fontId="24" fillId="10" borderId="37" xfId="1" applyFont="1" applyFill="1" applyBorder="1" applyAlignment="1">
      <alignment vertical="center"/>
    </xf>
    <xf numFmtId="10" fontId="24" fillId="10" borderId="37" xfId="4" applyNumberFormat="1" applyFont="1" applyFill="1" applyBorder="1" applyAlignment="1">
      <alignment vertical="center"/>
    </xf>
    <xf numFmtId="10" fontId="24" fillId="10" borderId="38" xfId="4" applyNumberFormat="1" applyFont="1" applyFill="1" applyBorder="1" applyAlignment="1">
      <alignment vertical="center"/>
    </xf>
    <xf numFmtId="176" fontId="36" fillId="10" borderId="86" xfId="0" applyFont="1" applyFill="1" applyBorder="1"/>
    <xf numFmtId="176" fontId="36" fillId="10" borderId="0" xfId="0" applyFont="1" applyFill="1" applyBorder="1" applyAlignment="1">
      <alignment vertical="center"/>
    </xf>
    <xf numFmtId="176" fontId="41" fillId="10" borderId="87" xfId="0" applyFont="1" applyFill="1" applyBorder="1" applyAlignment="1">
      <alignment horizontal="left" vertical="center" wrapText="1"/>
    </xf>
    <xf numFmtId="17" fontId="41" fillId="10" borderId="32" xfId="0" applyNumberFormat="1" applyFont="1" applyFill="1" applyBorder="1" applyAlignment="1">
      <alignment vertical="center"/>
    </xf>
    <xf numFmtId="17" fontId="41" fillId="10" borderId="33" xfId="0" applyNumberFormat="1" applyFont="1" applyFill="1" applyBorder="1" applyAlignment="1">
      <alignment vertical="center"/>
    </xf>
    <xf numFmtId="176" fontId="40" fillId="10" borderId="83" xfId="0" applyFont="1" applyFill="1" applyBorder="1" applyAlignment="1">
      <alignment vertical="center"/>
    </xf>
    <xf numFmtId="176" fontId="40" fillId="10" borderId="70" xfId="0" applyFont="1" applyFill="1" applyBorder="1"/>
    <xf numFmtId="43" fontId="40" fillId="10" borderId="30" xfId="1" applyFont="1" applyFill="1" applyBorder="1" applyAlignment="1">
      <alignment vertical="center"/>
    </xf>
    <xf numFmtId="43" fontId="40" fillId="10" borderId="35" xfId="1" applyFont="1" applyFill="1" applyBorder="1" applyAlignment="1">
      <alignment vertical="center"/>
    </xf>
    <xf numFmtId="176" fontId="40" fillId="10" borderId="83" xfId="0" applyFont="1" applyFill="1" applyBorder="1"/>
    <xf numFmtId="176" fontId="40" fillId="10" borderId="85" xfId="0" applyFont="1" applyFill="1" applyBorder="1"/>
    <xf numFmtId="43" fontId="40" fillId="10" borderId="37" xfId="1" applyFont="1" applyFill="1" applyBorder="1" applyAlignment="1">
      <alignment vertical="center"/>
    </xf>
    <xf numFmtId="43" fontId="40" fillId="10" borderId="38" xfId="1" applyFont="1" applyFill="1" applyBorder="1" applyAlignment="1">
      <alignment vertical="center"/>
    </xf>
    <xf numFmtId="176" fontId="36" fillId="10" borderId="88" xfId="0" applyFont="1" applyFill="1" applyBorder="1"/>
    <xf numFmtId="176" fontId="36" fillId="10" borderId="89" xfId="0" applyFont="1" applyFill="1" applyBorder="1"/>
    <xf numFmtId="176" fontId="36" fillId="10" borderId="89" xfId="0" applyFont="1" applyFill="1" applyBorder="1" applyAlignment="1">
      <alignment vertical="center"/>
    </xf>
    <xf numFmtId="176" fontId="36" fillId="10" borderId="90" xfId="0" applyFont="1" applyFill="1" applyBorder="1"/>
    <xf numFmtId="176" fontId="45" fillId="10" borderId="80" xfId="0" applyFont="1" applyFill="1" applyBorder="1" applyAlignment="1">
      <alignment vertical="top"/>
    </xf>
    <xf numFmtId="176" fontId="38" fillId="2" borderId="34" xfId="0" applyFont="1" applyFill="1" applyBorder="1" applyAlignment="1">
      <alignment horizontal="left" indent="1"/>
    </xf>
    <xf numFmtId="176" fontId="0" fillId="0" borderId="91" xfId="0" applyBorder="1" applyAlignment="1">
      <alignment vertical="center"/>
    </xf>
    <xf numFmtId="186" fontId="0" fillId="0" borderId="91" xfId="0" applyNumberFormat="1" applyBorder="1" applyAlignment="1">
      <alignment vertical="center"/>
    </xf>
    <xf numFmtId="9" fontId="0" fillId="11" borderId="91" xfId="0" applyNumberFormat="1" applyFill="1" applyBorder="1" applyAlignment="1">
      <alignment vertical="center"/>
    </xf>
    <xf numFmtId="176" fontId="0" fillId="0" borderId="0" xfId="0" applyAlignment="1">
      <alignment vertical="center"/>
    </xf>
    <xf numFmtId="176" fontId="22" fillId="0" borderId="0" xfId="0" applyFont="1" applyAlignment="1">
      <alignment horizontal="center" vertical="center"/>
    </xf>
    <xf numFmtId="188" fontId="22" fillId="0" borderId="0" xfId="0" applyNumberFormat="1" applyFont="1" applyAlignment="1">
      <alignment horizontal="center" vertical="center"/>
    </xf>
    <xf numFmtId="176" fontId="22" fillId="0" borderId="91" xfId="0" applyFont="1" applyBorder="1" applyAlignment="1">
      <alignment vertical="center"/>
    </xf>
    <xf numFmtId="187" fontId="22" fillId="0" borderId="91" xfId="0" applyNumberFormat="1" applyFont="1" applyBorder="1" applyAlignment="1">
      <alignment vertical="center"/>
    </xf>
    <xf numFmtId="9" fontId="0" fillId="11" borderId="91" xfId="4" applyNumberFormat="1" applyFont="1" applyFill="1" applyBorder="1">
      <alignment vertical="center"/>
    </xf>
    <xf numFmtId="2" fontId="25" fillId="2" borderId="53" xfId="1" applyNumberFormat="1" applyFont="1" applyFill="1" applyBorder="1" applyAlignment="1">
      <alignment horizontal="center" vertical="center"/>
    </xf>
    <xf numFmtId="2" fontId="25" fillId="2" borderId="53" xfId="4" applyNumberFormat="1" applyFont="1" applyFill="1" applyBorder="1" applyAlignment="1">
      <alignment horizontal="center" vertical="center"/>
    </xf>
    <xf numFmtId="2" fontId="25" fillId="2" borderId="55" xfId="4" applyNumberFormat="1" applyFont="1" applyFill="1" applyBorder="1" applyAlignment="1">
      <alignment horizontal="center" vertical="center"/>
    </xf>
    <xf numFmtId="0" fontId="0" fillId="11" borderId="91" xfId="0" applyNumberFormat="1" applyFill="1" applyBorder="1" applyAlignment="1">
      <alignment vertical="center"/>
    </xf>
    <xf numFmtId="0" fontId="0" fillId="0" borderId="91" xfId="0" applyNumberFormat="1" applyBorder="1" applyAlignment="1">
      <alignment vertical="center"/>
    </xf>
    <xf numFmtId="176" fontId="40" fillId="2" borderId="0" xfId="0" applyFont="1" applyFill="1" applyBorder="1" applyAlignment="1">
      <alignment horizontal="left" vertical="center" wrapText="1"/>
    </xf>
    <xf numFmtId="176" fontId="39" fillId="2" borderId="0" xfId="0" applyFont="1" applyFill="1" applyBorder="1" applyAlignment="1">
      <alignment horizontal="left" vertical="center" wrapText="1"/>
    </xf>
    <xf numFmtId="176" fontId="11" fillId="2" borderId="0" xfId="0" applyFont="1" applyFill="1" applyBorder="1" applyAlignment="1">
      <alignment horizontal="left" wrapText="1"/>
    </xf>
    <xf numFmtId="176" fontId="20" fillId="2" borderId="20" xfId="0" applyFont="1" applyFill="1" applyBorder="1" applyAlignment="1">
      <alignment horizontal="center" vertical="center" wrapText="1"/>
    </xf>
    <xf numFmtId="176" fontId="20" fillId="2" borderId="21" xfId="0" applyFont="1" applyFill="1" applyBorder="1" applyAlignment="1">
      <alignment horizontal="center" vertical="center" wrapText="1"/>
    </xf>
    <xf numFmtId="176" fontId="20" fillId="2" borderId="22" xfId="0" applyFont="1" applyFill="1" applyBorder="1" applyAlignment="1">
      <alignment horizontal="center" vertical="center" wrapText="1"/>
    </xf>
    <xf numFmtId="178" fontId="37" fillId="2" borderId="0" xfId="0" applyNumberFormat="1" applyFont="1" applyFill="1" applyBorder="1"/>
  </cellXfs>
  <cellStyles count="5">
    <cellStyle name="百分比" xfId="4" builtinId="5"/>
    <cellStyle name="百分比 2" xfId="3"/>
    <cellStyle name="常规" xfId="0" builtinId="0"/>
    <cellStyle name="千位分隔" xfId="1" builtinId="3"/>
    <cellStyle name="千位分隔 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280459</xdr:colOff>
      <xdr:row>1</xdr:row>
      <xdr:rowOff>17992</xdr:rowOff>
    </xdr:from>
    <xdr:to>
      <xdr:col>1</xdr:col>
      <xdr:colOff>594745</xdr:colOff>
      <xdr:row>1</xdr:row>
      <xdr:rowOff>198944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792" y="303742"/>
          <a:ext cx="314286" cy="1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PART1\&#27721;&#24471;\&#33756;&#40479;\&#33756;&#40479;&#32593;&#32476;&#21512;&#24182;\3&#26041;&#26696;&#35774;&#35745;\1%20&#26041;&#26696;&#35752;&#35770;\7%20&#35268;&#21017;&#35752;&#35770;\&#20013;&#22269;&#38134;&#32852;-HFM&#35268;&#21017;&#35774;&#35745;-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opLeftCell="A22" zoomScale="90" zoomScaleNormal="90" workbookViewId="0">
      <selection activeCell="G41" sqref="G41"/>
    </sheetView>
  </sheetViews>
  <sheetFormatPr defaultRowHeight="16.5" x14ac:dyDescent="0.3"/>
  <cols>
    <col min="1" max="1" width="2.25" style="217" customWidth="1"/>
    <col min="2" max="2" width="24.25" style="217" customWidth="1"/>
    <col min="3" max="3" width="16.625" style="217" customWidth="1"/>
    <col min="4" max="4" width="11.25" style="217" bestFit="1" customWidth="1"/>
    <col min="5" max="5" width="7.625" style="283" bestFit="1" customWidth="1"/>
    <col min="6" max="6" width="7.125" style="283" bestFit="1" customWidth="1"/>
    <col min="7" max="7" width="7.375" style="283" bestFit="1" customWidth="1"/>
    <col min="8" max="8" width="7.125" style="283" bestFit="1" customWidth="1"/>
    <col min="9" max="9" width="7.625" style="283" bestFit="1" customWidth="1"/>
    <col min="10" max="10" width="7.125" style="283" bestFit="1" customWidth="1"/>
    <col min="11" max="11" width="7.875" style="283" customWidth="1"/>
    <col min="12" max="12" width="7.5" style="283" bestFit="1" customWidth="1"/>
    <col min="13" max="15" width="11.75" style="283" customWidth="1"/>
    <col min="16" max="16" width="14.625" style="283" bestFit="1" customWidth="1"/>
    <col min="17" max="28" width="7.125" style="217" customWidth="1"/>
    <col min="29" max="16384" width="9" style="217"/>
  </cols>
  <sheetData>
    <row r="1" spans="1:18" ht="22.5" customHeight="1" x14ac:dyDescent="0.3">
      <c r="A1" s="260"/>
      <c r="B1" s="425" t="s">
        <v>155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</row>
    <row r="2" spans="1:18" ht="68.25" customHeight="1" x14ac:dyDescent="0.3">
      <c r="A2" s="260"/>
      <c r="B2" s="424" t="s">
        <v>164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</row>
    <row r="3" spans="1:18" ht="9.75" customHeight="1" thickBot="1" x14ac:dyDescent="0.35">
      <c r="A3" s="26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</row>
    <row r="4" spans="1:18" ht="16.5" customHeight="1" x14ac:dyDescent="0.3">
      <c r="A4" s="260"/>
      <c r="B4" s="335" t="s">
        <v>165</v>
      </c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7"/>
      <c r="Q4" s="300"/>
    </row>
    <row r="5" spans="1:18" s="261" customFormat="1" ht="13.5" x14ac:dyDescent="0.3">
      <c r="B5" s="328" t="s">
        <v>128</v>
      </c>
      <c r="C5" s="304" t="s">
        <v>159</v>
      </c>
      <c r="D5" s="305">
        <v>0.18</v>
      </c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29"/>
    </row>
    <row r="6" spans="1:18" s="261" customFormat="1" ht="13.5" x14ac:dyDescent="0.3">
      <c r="B6" s="330" t="s">
        <v>161</v>
      </c>
      <c r="C6" s="308" t="s">
        <v>129</v>
      </c>
      <c r="D6" s="308" t="s">
        <v>125</v>
      </c>
      <c r="E6" s="309">
        <v>43466</v>
      </c>
      <c r="F6" s="309">
        <v>43497</v>
      </c>
      <c r="G6" s="309">
        <v>43525</v>
      </c>
      <c r="H6" s="309">
        <v>43556</v>
      </c>
      <c r="I6" s="309">
        <v>43586</v>
      </c>
      <c r="J6" s="309">
        <v>43617</v>
      </c>
      <c r="K6" s="309">
        <v>43647</v>
      </c>
      <c r="L6" s="309">
        <v>43678</v>
      </c>
      <c r="M6" s="309">
        <v>43709</v>
      </c>
      <c r="N6" s="309">
        <v>43739</v>
      </c>
      <c r="O6" s="309">
        <v>43770</v>
      </c>
      <c r="P6" s="334">
        <v>43800</v>
      </c>
    </row>
    <row r="7" spans="1:18" s="263" customFormat="1" ht="13.5" x14ac:dyDescent="0.3">
      <c r="B7" s="291" t="s">
        <v>196</v>
      </c>
      <c r="C7" s="262"/>
      <c r="D7" s="430">
        <v>35000</v>
      </c>
      <c r="E7" s="284">
        <f>SUM(E8:E9)</f>
        <v>0</v>
      </c>
      <c r="F7" s="284">
        <f>SUM(F8:F9)</f>
        <v>0</v>
      </c>
      <c r="G7" s="284">
        <f>SUM(G8:G9)</f>
        <v>0</v>
      </c>
      <c r="H7" s="284">
        <f>SUM(H8:H9)</f>
        <v>0</v>
      </c>
      <c r="I7" s="284">
        <f>SUM(I8:I9)</f>
        <v>500</v>
      </c>
      <c r="J7" s="284">
        <f>SUM(J8:J9)</f>
        <v>500</v>
      </c>
      <c r="K7" s="284">
        <f>SUM(K8:K9)</f>
        <v>2500</v>
      </c>
      <c r="L7" s="284">
        <f>SUM(L8:L9)</f>
        <v>4000</v>
      </c>
      <c r="M7" s="284">
        <f>SUM(M8:M9)</f>
        <v>5500</v>
      </c>
      <c r="N7" s="284">
        <f>SUM(N8:N9)</f>
        <v>6000</v>
      </c>
      <c r="O7" s="284">
        <f>SUM(O8:O9)</f>
        <v>7500</v>
      </c>
      <c r="P7" s="284">
        <f>SUM(P8:P9)</f>
        <v>8500</v>
      </c>
      <c r="R7" s="430"/>
    </row>
    <row r="8" spans="1:18" s="261" customFormat="1" ht="13.5" x14ac:dyDescent="0.3">
      <c r="B8" s="264" t="s">
        <v>121</v>
      </c>
      <c r="C8" s="265"/>
      <c r="D8" s="430">
        <v>25000</v>
      </c>
      <c r="E8" s="430">
        <v>0</v>
      </c>
      <c r="F8" s="430">
        <v>0</v>
      </c>
      <c r="G8" s="430">
        <v>0</v>
      </c>
      <c r="H8" s="430">
        <v>0</v>
      </c>
      <c r="I8" s="430">
        <v>500</v>
      </c>
      <c r="J8" s="430">
        <v>500</v>
      </c>
      <c r="K8" s="430">
        <v>2000</v>
      </c>
      <c r="L8" s="430">
        <v>3000</v>
      </c>
      <c r="M8" s="430">
        <v>4000</v>
      </c>
      <c r="N8" s="430">
        <v>4000</v>
      </c>
      <c r="O8" s="430">
        <v>5000</v>
      </c>
      <c r="P8" s="430">
        <f>(D8-SUM(G8:O8))</f>
        <v>6000</v>
      </c>
    </row>
    <row r="9" spans="1:18" s="261" customFormat="1" ht="13.5" x14ac:dyDescent="0.3">
      <c r="B9" s="293" t="s">
        <v>122</v>
      </c>
      <c r="C9" s="310"/>
      <c r="D9" s="430">
        <v>10000</v>
      </c>
      <c r="E9" s="430">
        <v>0</v>
      </c>
      <c r="F9" s="430">
        <v>0</v>
      </c>
      <c r="G9" s="430">
        <v>0</v>
      </c>
      <c r="H9" s="430">
        <v>0</v>
      </c>
      <c r="I9" s="430">
        <v>0</v>
      </c>
      <c r="J9" s="430">
        <v>0</v>
      </c>
      <c r="K9" s="430">
        <v>500</v>
      </c>
      <c r="L9" s="430">
        <v>1000</v>
      </c>
      <c r="M9" s="430">
        <v>1500</v>
      </c>
      <c r="N9" s="430">
        <v>2000</v>
      </c>
      <c r="O9" s="430">
        <v>2500</v>
      </c>
      <c r="P9" s="430">
        <f>(D9-SUM(G9:O9))</f>
        <v>2500</v>
      </c>
    </row>
    <row r="10" spans="1:18" s="263" customFormat="1" ht="13.5" x14ac:dyDescent="0.3">
      <c r="B10" s="330" t="s">
        <v>126</v>
      </c>
      <c r="C10" s="312" t="s">
        <v>162</v>
      </c>
      <c r="D10" s="313"/>
      <c r="E10" s="314">
        <f>IFERROR(E8/E7*$D11+E9/E7*$D12,0)</f>
        <v>0</v>
      </c>
      <c r="F10" s="314">
        <f>IFERROR(F8/F7*$D11+F9/F7*$D12,0)</f>
        <v>0</v>
      </c>
      <c r="G10" s="314">
        <f>IFERROR(G8/G7*$D11+G9/G7*$D12,0)</f>
        <v>0</v>
      </c>
      <c r="H10" s="314">
        <f>IFERROR(H8/H7*$D11+H9/H7*$D12,0)</f>
        <v>0</v>
      </c>
      <c r="I10" s="314">
        <f>IFERROR(I8/I7*$D11+I9/I7*$D12,0)</f>
        <v>9.5000000000000001E-2</v>
      </c>
      <c r="J10" s="314">
        <f>IFERROR(J8/J7*$D11+J9/J7*$D12,0)</f>
        <v>9.5000000000000001E-2</v>
      </c>
      <c r="K10" s="314">
        <f>IFERROR(K8/K7*$D11+K9/K7*$D12,0)</f>
        <v>9.4000000000000014E-2</v>
      </c>
      <c r="L10" s="314">
        <f>IFERROR(L8/L7*$D11+L9/L7*$D12,0)</f>
        <v>9.375E-2</v>
      </c>
      <c r="M10" s="314">
        <f>IFERROR(M8/M7*$D11+M9/M7*$D12,0)</f>
        <v>9.3636363636363629E-2</v>
      </c>
      <c r="N10" s="314">
        <f>IFERROR(N8/N7*$D11+N9/N7*$D12,0)</f>
        <v>9.3333333333333324E-2</v>
      </c>
      <c r="O10" s="314">
        <f>IFERROR(O8/O7*$D11+O9/O7*$D12,0)</f>
        <v>9.3333333333333324E-2</v>
      </c>
      <c r="P10" s="314">
        <f>IFERROR(P8/P7*$D11+P9/P7*$D12,0)</f>
        <v>9.3529411764705889E-2</v>
      </c>
    </row>
    <row r="11" spans="1:18" s="261" customFormat="1" ht="13.5" x14ac:dyDescent="0.3">
      <c r="B11" s="264" t="s">
        <v>123</v>
      </c>
      <c r="C11" s="265"/>
      <c r="D11" s="270">
        <v>9.5000000000000001E-2</v>
      </c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8"/>
    </row>
    <row r="12" spans="1:18" s="261" customFormat="1" ht="13.5" x14ac:dyDescent="0.3">
      <c r="B12" s="264" t="s">
        <v>124</v>
      </c>
      <c r="C12" s="265"/>
      <c r="D12" s="270">
        <v>0.09</v>
      </c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80"/>
    </row>
    <row r="13" spans="1:18" s="261" customFormat="1" ht="14.25" thickBot="1" x14ac:dyDescent="0.35">
      <c r="B13" s="339" t="s">
        <v>135</v>
      </c>
      <c r="C13" s="340" t="s">
        <v>158</v>
      </c>
      <c r="D13" s="341">
        <v>9.5000000000000001E-2</v>
      </c>
      <c r="E13" s="342"/>
      <c r="F13" s="343"/>
      <c r="G13" s="342"/>
      <c r="H13" s="342"/>
      <c r="I13" s="342"/>
      <c r="J13" s="342"/>
      <c r="K13" s="342"/>
      <c r="L13" s="342"/>
      <c r="M13" s="342"/>
      <c r="N13" s="342"/>
      <c r="O13" s="342"/>
      <c r="P13" s="344"/>
    </row>
    <row r="14" spans="1:18" s="263" customFormat="1" ht="13.5" x14ac:dyDescent="0.3">
      <c r="B14" s="266" t="s">
        <v>163</v>
      </c>
      <c r="C14" s="292"/>
      <c r="D14" s="267" t="s">
        <v>168</v>
      </c>
      <c r="E14" s="285">
        <v>1</v>
      </c>
      <c r="F14" s="285">
        <v>2</v>
      </c>
      <c r="G14" s="285">
        <v>3</v>
      </c>
      <c r="H14" s="285">
        <v>4</v>
      </c>
      <c r="I14" s="285">
        <v>5</v>
      </c>
      <c r="J14" s="285">
        <v>6</v>
      </c>
      <c r="K14" s="285">
        <v>7</v>
      </c>
      <c r="L14" s="285">
        <v>8</v>
      </c>
      <c r="M14" s="285">
        <v>9</v>
      </c>
      <c r="N14" s="285">
        <v>10</v>
      </c>
      <c r="O14" s="285">
        <v>11</v>
      </c>
      <c r="P14" s="286">
        <v>12</v>
      </c>
    </row>
    <row r="15" spans="1:18" s="261" customFormat="1" ht="13.5" x14ac:dyDescent="0.3">
      <c r="B15" s="409" t="s">
        <v>181</v>
      </c>
      <c r="C15" s="268"/>
      <c r="D15" s="338">
        <f>(SUMPRODUCT((E14:O14)*(E15:O15))+P14*(C17+P15))</f>
        <v>7.6449999999999996</v>
      </c>
      <c r="E15" s="287">
        <v>0.01</v>
      </c>
      <c r="F15" s="287">
        <v>0.03</v>
      </c>
      <c r="G15" s="287">
        <v>0.04</v>
      </c>
      <c r="H15" s="287">
        <v>0.09</v>
      </c>
      <c r="I15" s="287">
        <v>0.09</v>
      </c>
      <c r="J15" s="287">
        <v>0.11</v>
      </c>
      <c r="K15" s="287">
        <v>0.11</v>
      </c>
      <c r="L15" s="287">
        <v>0.11</v>
      </c>
      <c r="M15" s="287">
        <v>0.11</v>
      </c>
      <c r="N15" s="287">
        <v>0.1</v>
      </c>
      <c r="O15" s="287">
        <v>5.5E-2</v>
      </c>
      <c r="P15" s="288">
        <f>1-C17-SUM(E15:O15)</f>
        <v>5.0499999999999989E-2</v>
      </c>
    </row>
    <row r="16" spans="1:18" s="261" customFormat="1" ht="13.5" x14ac:dyDescent="0.3">
      <c r="B16" s="409" t="s">
        <v>182</v>
      </c>
      <c r="C16" s="302" t="s">
        <v>166</v>
      </c>
      <c r="D16" s="301" t="s">
        <v>167</v>
      </c>
      <c r="E16" s="289">
        <v>13</v>
      </c>
      <c r="F16" s="289">
        <v>14</v>
      </c>
      <c r="G16" s="289">
        <v>15</v>
      </c>
      <c r="H16" s="289">
        <v>16</v>
      </c>
      <c r="I16" s="289">
        <v>17</v>
      </c>
      <c r="J16" s="289">
        <v>18</v>
      </c>
      <c r="K16" s="289">
        <v>19</v>
      </c>
      <c r="L16" s="289">
        <v>20</v>
      </c>
      <c r="M16" s="289">
        <v>21</v>
      </c>
      <c r="N16" s="289">
        <v>22</v>
      </c>
      <c r="O16" s="289">
        <v>23</v>
      </c>
      <c r="P16" s="290">
        <v>24</v>
      </c>
    </row>
    <row r="17" spans="2:29" s="261" customFormat="1" ht="14.25" thickBot="1" x14ac:dyDescent="0.35">
      <c r="B17" s="352"/>
      <c r="C17" s="303">
        <v>9.4500000000000001E-2</v>
      </c>
      <c r="D17" s="269">
        <v>2.7099999999999999E-2</v>
      </c>
      <c r="E17" s="275">
        <v>5.4999999999999997E-3</v>
      </c>
      <c r="F17" s="275">
        <v>5.4999999999999997E-3</v>
      </c>
      <c r="G17" s="275">
        <v>5.4999999999999997E-3</v>
      </c>
      <c r="H17" s="275">
        <v>5.4999999999999997E-3</v>
      </c>
      <c r="I17" s="275">
        <v>5.4999999999999997E-3</v>
      </c>
      <c r="J17" s="275">
        <v>5.4999999999999997E-3</v>
      </c>
      <c r="K17" s="275">
        <v>5.4999999999999997E-3</v>
      </c>
      <c r="L17" s="275">
        <v>5.4999999999999997E-3</v>
      </c>
      <c r="M17" s="275">
        <v>5.4999999999999997E-3</v>
      </c>
      <c r="N17" s="275">
        <v>5.4999999999999997E-3</v>
      </c>
      <c r="O17" s="275">
        <v>5.4999999999999997E-3</v>
      </c>
      <c r="P17" s="276">
        <f>C17-D17-SUM(E17:O17)</f>
        <v>6.9000000000000172E-3</v>
      </c>
    </row>
    <row r="18" spans="2:29" s="261" customFormat="1" ht="13.5" x14ac:dyDescent="0.3">
      <c r="B18" s="299" t="s">
        <v>131</v>
      </c>
      <c r="C18" s="307" t="s">
        <v>130</v>
      </c>
      <c r="D18" s="315">
        <v>15</v>
      </c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7"/>
    </row>
    <row r="19" spans="2:29" s="261" customFormat="1" ht="13.5" x14ac:dyDescent="0.3">
      <c r="B19" s="332" t="s">
        <v>132</v>
      </c>
      <c r="C19" s="294" t="s">
        <v>160</v>
      </c>
      <c r="D19" s="311">
        <v>15</v>
      </c>
      <c r="E19" s="319" t="str">
        <f>MID(B19,12,1)</f>
        <v>3</v>
      </c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7"/>
    </row>
    <row r="20" spans="2:29" s="261" customFormat="1" ht="13.5" x14ac:dyDescent="0.3">
      <c r="B20" s="320" t="s">
        <v>139</v>
      </c>
      <c r="C20" s="271"/>
      <c r="D20" s="272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2"/>
    </row>
    <row r="21" spans="2:29" s="261" customFormat="1" ht="13.5" x14ac:dyDescent="0.3">
      <c r="B21" s="333" t="s">
        <v>143</v>
      </c>
      <c r="C21" s="326"/>
      <c r="D21" s="327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31"/>
    </row>
    <row r="22" spans="2:29" s="261" customFormat="1" ht="13.5" x14ac:dyDescent="0.3">
      <c r="B22" s="264" t="s">
        <v>142</v>
      </c>
      <c r="C22" s="265"/>
      <c r="D22" s="273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8"/>
    </row>
    <row r="23" spans="2:29" s="261" customFormat="1" ht="13.5" x14ac:dyDescent="0.3">
      <c r="B23" s="264" t="s">
        <v>141</v>
      </c>
      <c r="C23" s="265"/>
      <c r="D23" s="273">
        <v>0.01</v>
      </c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8"/>
    </row>
    <row r="24" spans="2:29" s="261" customFormat="1" ht="13.5" x14ac:dyDescent="0.3">
      <c r="B24" s="293" t="s">
        <v>140</v>
      </c>
      <c r="C24" s="310"/>
      <c r="D24" s="295">
        <v>0.01</v>
      </c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7"/>
    </row>
    <row r="25" spans="2:29" s="261" customFormat="1" ht="14.25" thickBot="1" x14ac:dyDescent="0.35">
      <c r="B25" s="321" t="s">
        <v>199</v>
      </c>
      <c r="C25" s="298"/>
      <c r="D25" s="322">
        <v>5000</v>
      </c>
      <c r="E25" s="323"/>
      <c r="F25" s="324"/>
      <c r="G25" s="323"/>
      <c r="H25" s="323"/>
      <c r="I25" s="323"/>
      <c r="J25" s="323"/>
      <c r="K25" s="323"/>
      <c r="L25" s="323"/>
      <c r="M25" s="323"/>
      <c r="N25" s="323"/>
      <c r="O25" s="323"/>
      <c r="P25" s="325"/>
    </row>
    <row r="27" spans="2:29" ht="18.75" customHeight="1" thickBot="1" x14ac:dyDescent="0.35">
      <c r="B27" s="408" t="s">
        <v>183</v>
      </c>
      <c r="C27" s="362"/>
      <c r="D27" s="362"/>
      <c r="E27" s="363"/>
      <c r="F27" s="363"/>
      <c r="G27" s="363"/>
      <c r="H27" s="363"/>
      <c r="I27" s="363"/>
      <c r="J27" s="363"/>
      <c r="K27" s="363"/>
      <c r="L27" s="363"/>
      <c r="M27" s="363"/>
      <c r="N27" s="363"/>
      <c r="O27" s="363"/>
      <c r="P27" s="363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62"/>
      <c r="AB27" s="362"/>
      <c r="AC27" s="364"/>
    </row>
    <row r="28" spans="2:29" ht="14.25" customHeight="1" x14ac:dyDescent="0.3">
      <c r="B28" s="365" t="s">
        <v>169</v>
      </c>
      <c r="C28" s="366"/>
      <c r="D28" s="353" t="s">
        <v>125</v>
      </c>
      <c r="E28" s="367">
        <v>43466</v>
      </c>
      <c r="F28" s="367">
        <v>43497</v>
      </c>
      <c r="G28" s="367">
        <v>43525</v>
      </c>
      <c r="H28" s="367">
        <v>43556</v>
      </c>
      <c r="I28" s="367">
        <v>43586</v>
      </c>
      <c r="J28" s="367">
        <v>43617</v>
      </c>
      <c r="K28" s="367">
        <v>43647</v>
      </c>
      <c r="L28" s="367">
        <v>43678</v>
      </c>
      <c r="M28" s="367">
        <v>43709</v>
      </c>
      <c r="N28" s="367">
        <v>43739</v>
      </c>
      <c r="O28" s="367">
        <v>43770</v>
      </c>
      <c r="P28" s="368">
        <v>43800</v>
      </c>
      <c r="Q28" s="369"/>
      <c r="R28" s="369"/>
      <c r="S28" s="369"/>
      <c r="T28" s="369"/>
      <c r="U28" s="369"/>
      <c r="V28" s="369"/>
      <c r="W28" s="369"/>
      <c r="X28" s="369"/>
      <c r="Y28" s="369"/>
      <c r="Z28" s="369"/>
      <c r="AA28" s="369"/>
      <c r="AB28" s="369"/>
      <c r="AC28" s="370"/>
    </row>
    <row r="29" spans="2:29" ht="14.25" customHeight="1" x14ac:dyDescent="0.3">
      <c r="B29" s="371" t="s">
        <v>170</v>
      </c>
      <c r="C29" s="372"/>
      <c r="D29" s="354">
        <f>D7</f>
        <v>35000</v>
      </c>
      <c r="E29" s="373">
        <f t="shared" ref="E29:P29" si="0">E7</f>
        <v>0</v>
      </c>
      <c r="F29" s="373">
        <f t="shared" si="0"/>
        <v>0</v>
      </c>
      <c r="G29" s="373">
        <f t="shared" si="0"/>
        <v>0</v>
      </c>
      <c r="H29" s="373">
        <f t="shared" si="0"/>
        <v>0</v>
      </c>
      <c r="I29" s="373">
        <f t="shared" si="0"/>
        <v>500</v>
      </c>
      <c r="J29" s="373">
        <f t="shared" si="0"/>
        <v>500</v>
      </c>
      <c r="K29" s="373">
        <f t="shared" si="0"/>
        <v>2500</v>
      </c>
      <c r="L29" s="373">
        <f t="shared" si="0"/>
        <v>4000</v>
      </c>
      <c r="M29" s="373">
        <f t="shared" si="0"/>
        <v>5500</v>
      </c>
      <c r="N29" s="373">
        <f t="shared" si="0"/>
        <v>6000</v>
      </c>
      <c r="O29" s="373">
        <f t="shared" si="0"/>
        <v>7500</v>
      </c>
      <c r="P29" s="374">
        <f t="shared" si="0"/>
        <v>8500</v>
      </c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70"/>
    </row>
    <row r="30" spans="2:29" ht="14.25" customHeight="1" x14ac:dyDescent="0.3">
      <c r="B30" s="375" t="s">
        <v>171</v>
      </c>
      <c r="C30" s="376"/>
      <c r="D30" s="355">
        <f>'P&amp;L-毛利之上部分'!C8</f>
        <v>4013.6249999999995</v>
      </c>
      <c r="E30" s="377">
        <f>'P&amp;L-毛利之上部分'!D8</f>
        <v>0</v>
      </c>
      <c r="F30" s="377">
        <f>'P&amp;L-毛利之上部分'!E8</f>
        <v>0</v>
      </c>
      <c r="G30" s="377">
        <f>'P&amp;L-毛利之上部分'!F8</f>
        <v>0</v>
      </c>
      <c r="H30" s="377">
        <f>'P&amp;L-毛利之上部分'!G8</f>
        <v>0</v>
      </c>
      <c r="I30" s="377">
        <f>'P&amp;L-毛利之上部分'!H8</f>
        <v>57.337499999999991</v>
      </c>
      <c r="J30" s="377">
        <f>'P&amp;L-毛利之上部分'!I8</f>
        <v>57.337499999999991</v>
      </c>
      <c r="K30" s="377">
        <f>'P&amp;L-毛利之上部分'!J8</f>
        <v>286.68749999999994</v>
      </c>
      <c r="L30" s="377">
        <f>'P&amp;L-毛利之上部分'!K8</f>
        <v>458.69999999999993</v>
      </c>
      <c r="M30" s="377">
        <f>'P&amp;L-毛利之上部分'!L8</f>
        <v>630.71249999999986</v>
      </c>
      <c r="N30" s="377">
        <f>'P&amp;L-毛利之上部分'!M8</f>
        <v>688.05</v>
      </c>
      <c r="O30" s="377">
        <f>'P&amp;L-毛利之上部分'!N8</f>
        <v>860.06249999999989</v>
      </c>
      <c r="P30" s="378">
        <f>'P&amp;L-毛利之上部分'!O8</f>
        <v>974.73749999999984</v>
      </c>
      <c r="Q30" s="369"/>
      <c r="R30" s="369"/>
      <c r="S30" s="369"/>
      <c r="T30" s="369"/>
      <c r="U30" s="369"/>
      <c r="V30" s="369"/>
      <c r="W30" s="369"/>
      <c r="X30" s="369"/>
      <c r="Y30" s="369"/>
      <c r="Z30" s="369"/>
      <c r="AA30" s="369"/>
      <c r="AB30" s="369"/>
      <c r="AC30" s="370"/>
    </row>
    <row r="31" spans="2:29" ht="14.25" customHeight="1" x14ac:dyDescent="0.3">
      <c r="B31" s="371" t="s">
        <v>174</v>
      </c>
      <c r="C31" s="379"/>
      <c r="D31" s="354">
        <f>'P&amp;L-毛利之上部分'!C12</f>
        <v>856.50132861635188</v>
      </c>
      <c r="E31" s="373">
        <f>'P&amp;L-毛利之上部分'!D12</f>
        <v>0</v>
      </c>
      <c r="F31" s="373">
        <f>'P&amp;L-毛利之上部分'!E12</f>
        <v>0</v>
      </c>
      <c r="G31" s="373">
        <f>'P&amp;L-毛利之上部分'!F12</f>
        <v>0</v>
      </c>
      <c r="H31" s="373">
        <f>'P&amp;L-毛利之上部分'!G12</f>
        <v>0</v>
      </c>
      <c r="I31" s="373">
        <f>'P&amp;L-毛利之上部分'!H12</f>
        <v>11.809522798742131</v>
      </c>
      <c r="J31" s="373">
        <f>'P&amp;L-毛利之上部分'!I12</f>
        <v>11.809522798742131</v>
      </c>
      <c r="K31" s="373">
        <f>'P&amp;L-毛利之上部分'!J12</f>
        <v>60.539350628930748</v>
      </c>
      <c r="L31" s="373">
        <f>'P&amp;L-毛利之上部分'!K12</f>
        <v>97.459655660377294</v>
      </c>
      <c r="M31" s="373">
        <f>'P&amp;L-毛利之上部分'!L12</f>
        <v>134.37996069182381</v>
      </c>
      <c r="N31" s="373">
        <f>'P&amp;L-毛利之上部分'!M12</f>
        <v>147.68122012578621</v>
      </c>
      <c r="O31" s="373">
        <f>'P&amp;L-毛利之上部分'!N12</f>
        <v>184.60152515723269</v>
      </c>
      <c r="P31" s="374">
        <f>'P&amp;L-毛利之上部分'!O12</f>
        <v>208.22057075471687</v>
      </c>
      <c r="Q31" s="369"/>
      <c r="R31" s="369"/>
      <c r="S31" s="369"/>
      <c r="T31" s="369"/>
      <c r="U31" s="369"/>
      <c r="V31" s="369"/>
      <c r="W31" s="369"/>
      <c r="X31" s="369"/>
      <c r="Y31" s="369"/>
      <c r="Z31" s="369"/>
      <c r="AA31" s="369"/>
      <c r="AB31" s="369"/>
      <c r="AC31" s="370"/>
    </row>
    <row r="32" spans="2:29" ht="14.25" customHeight="1" x14ac:dyDescent="0.3">
      <c r="B32" s="375" t="s">
        <v>172</v>
      </c>
      <c r="C32" s="376"/>
      <c r="D32" s="356">
        <f>'P&amp;L-毛利之上部分'!C13</f>
        <v>2.4471466531895768E-2</v>
      </c>
      <c r="E32" s="377">
        <f>'P&amp;L-毛利之上部分'!D13</f>
        <v>0</v>
      </c>
      <c r="F32" s="377">
        <f>'P&amp;L-毛利之上部分'!E13</f>
        <v>0</v>
      </c>
      <c r="G32" s="380">
        <f>'P&amp;L-毛利之上部分'!F13</f>
        <v>0</v>
      </c>
      <c r="H32" s="380">
        <f>'P&amp;L-毛利之上部分'!G13</f>
        <v>0</v>
      </c>
      <c r="I32" s="380">
        <f>'P&amp;L-毛利之上部分'!H13</f>
        <v>2.3619045597484262E-2</v>
      </c>
      <c r="J32" s="380">
        <f>'P&amp;L-毛利之上部分'!I13</f>
        <v>2.3619045597484262E-2</v>
      </c>
      <c r="K32" s="380">
        <f>'P&amp;L-毛利之上部分'!J13</f>
        <v>2.4215740251572301E-2</v>
      </c>
      <c r="L32" s="380">
        <f>'P&amp;L-毛利之上部分'!K13</f>
        <v>2.4364913915094325E-2</v>
      </c>
      <c r="M32" s="380">
        <f>'P&amp;L-毛利之上部分'!L13</f>
        <v>2.4432720125786147E-2</v>
      </c>
      <c r="N32" s="380">
        <f>'P&amp;L-毛利之上部分'!M13</f>
        <v>2.4613536687631034E-2</v>
      </c>
      <c r="O32" s="380">
        <f>'P&amp;L-毛利之上部分'!N13</f>
        <v>2.4613536687631023E-2</v>
      </c>
      <c r="P32" s="381">
        <f>'P&amp;L-毛利之上部分'!O13</f>
        <v>2.4496537735849044E-2</v>
      </c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369"/>
      <c r="AB32" s="369"/>
      <c r="AC32" s="370"/>
    </row>
    <row r="33" spans="2:29" ht="14.25" customHeight="1" x14ac:dyDescent="0.3">
      <c r="B33" s="382" t="s">
        <v>175</v>
      </c>
      <c r="C33" s="383"/>
      <c r="D33" s="357">
        <f>'P&amp;L-毛利之上部分'!C26</f>
        <v>524.37130204402479</v>
      </c>
      <c r="E33" s="384">
        <f>'P&amp;L-毛利之上部分'!D26</f>
        <v>0</v>
      </c>
      <c r="F33" s="384">
        <f>'P&amp;L-毛利之上部分'!E26</f>
        <v>0</v>
      </c>
      <c r="G33" s="384">
        <f>'P&amp;L-毛利之上部分'!F26</f>
        <v>0</v>
      </c>
      <c r="H33" s="384">
        <f>'P&amp;L-毛利之上部分'!G26</f>
        <v>0</v>
      </c>
      <c r="I33" s="384">
        <f>'P&amp;L-毛利之上部分'!H26</f>
        <v>7.0733323427672889</v>
      </c>
      <c r="J33" s="384">
        <f>'P&amp;L-毛利之上部分'!I26</f>
        <v>7.0733323427672889</v>
      </c>
      <c r="K33" s="384">
        <f>'P&amp;L-毛利之上部分'!J26</f>
        <v>36.828563616352135</v>
      </c>
      <c r="L33" s="384">
        <f>'P&amp;L-毛利之上部分'!K26</f>
        <v>59.510462547169745</v>
      </c>
      <c r="M33" s="384">
        <f>'P&amp;L-毛利之上部分'!L26</f>
        <v>82.192361477987333</v>
      </c>
      <c r="N33" s="384">
        <f>'P&amp;L-毛利之上部分'!M26</f>
        <v>90.727595723270497</v>
      </c>
      <c r="O33" s="384">
        <f>'P&amp;L-毛利之上部分'!N26</f>
        <v>113.40949465408804</v>
      </c>
      <c r="P33" s="385">
        <f>'P&amp;L-毛利之上部分'!O26</f>
        <v>127.55615933962254</v>
      </c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69"/>
      <c r="AB33" s="369"/>
      <c r="AC33" s="370"/>
    </row>
    <row r="34" spans="2:29" ht="14.25" customHeight="1" thickBot="1" x14ac:dyDescent="0.35">
      <c r="B34" s="386" t="s">
        <v>173</v>
      </c>
      <c r="C34" s="387"/>
      <c r="D34" s="358">
        <f>'P&amp;L-毛利之上部分'!C27</f>
        <v>0.13064780642038676</v>
      </c>
      <c r="E34" s="388">
        <f>'P&amp;L-毛利之上部分'!D27</f>
        <v>0</v>
      </c>
      <c r="F34" s="388">
        <f>'P&amp;L-毛利之上部分'!E27</f>
        <v>0</v>
      </c>
      <c r="G34" s="389">
        <f>'P&amp;L-毛利之上部分'!F27</f>
        <v>0</v>
      </c>
      <c r="H34" s="389">
        <f>'P&amp;L-毛利之上部分'!G27</f>
        <v>0</v>
      </c>
      <c r="I34" s="389">
        <f>'P&amp;L-毛利之上部分'!H27</f>
        <v>0.12336311040361526</v>
      </c>
      <c r="J34" s="389">
        <f>'P&amp;L-毛利之上部分'!I27</f>
        <v>0.12336311040361526</v>
      </c>
      <c r="K34" s="389">
        <f>'P&amp;L-毛利之上部分'!J27</f>
        <v>0.12846239761535519</v>
      </c>
      <c r="L34" s="389">
        <f>'P&amp;L-毛利之上部分'!K27</f>
        <v>0.12973721941829028</v>
      </c>
      <c r="M34" s="389">
        <f>'P&amp;L-毛利之上部分'!L27</f>
        <v>0.13031668387416984</v>
      </c>
      <c r="N34" s="389">
        <f>'P&amp;L-毛利之上部分'!M27</f>
        <v>0.13186192242318218</v>
      </c>
      <c r="O34" s="389">
        <f>'P&amp;L-毛利之上部分'!N27</f>
        <v>0.13186192242318209</v>
      </c>
      <c r="P34" s="390">
        <f>'P&amp;L-毛利之上部分'!O27</f>
        <v>0.13086206218558594</v>
      </c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69"/>
      <c r="AB34" s="369"/>
      <c r="AC34" s="370"/>
    </row>
    <row r="35" spans="2:29" ht="16.5" customHeight="1" thickBot="1" x14ac:dyDescent="0.35">
      <c r="B35" s="391"/>
      <c r="C35" s="369"/>
      <c r="D35" s="369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70"/>
    </row>
    <row r="36" spans="2:29" s="351" customFormat="1" ht="21.75" customHeight="1" x14ac:dyDescent="0.2">
      <c r="B36" s="393" t="s">
        <v>176</v>
      </c>
      <c r="C36" s="359" t="s">
        <v>179</v>
      </c>
      <c r="D36" s="359" t="s">
        <v>178</v>
      </c>
      <c r="E36" s="394">
        <v>43831</v>
      </c>
      <c r="F36" s="394">
        <v>43862</v>
      </c>
      <c r="G36" s="394">
        <v>43891</v>
      </c>
      <c r="H36" s="394">
        <v>43922</v>
      </c>
      <c r="I36" s="394">
        <v>43952</v>
      </c>
      <c r="J36" s="394">
        <v>43983</v>
      </c>
      <c r="K36" s="394">
        <v>44013</v>
      </c>
      <c r="L36" s="394">
        <v>44044</v>
      </c>
      <c r="M36" s="394">
        <v>44075</v>
      </c>
      <c r="N36" s="394">
        <v>44105</v>
      </c>
      <c r="O36" s="394">
        <v>44136</v>
      </c>
      <c r="P36" s="394">
        <v>44166</v>
      </c>
      <c r="Q36" s="394">
        <v>44197</v>
      </c>
      <c r="R36" s="394">
        <v>44228</v>
      </c>
      <c r="S36" s="394">
        <v>44256</v>
      </c>
      <c r="T36" s="394">
        <v>44287</v>
      </c>
      <c r="U36" s="394">
        <v>44317</v>
      </c>
      <c r="V36" s="394">
        <v>44348</v>
      </c>
      <c r="W36" s="394">
        <v>44378</v>
      </c>
      <c r="X36" s="394">
        <v>44409</v>
      </c>
      <c r="Y36" s="394">
        <v>44440</v>
      </c>
      <c r="Z36" s="394">
        <v>44470</v>
      </c>
      <c r="AA36" s="394">
        <v>44501</v>
      </c>
      <c r="AB36" s="395">
        <v>44531</v>
      </c>
      <c r="AC36" s="396"/>
    </row>
    <row r="37" spans="2:29" s="345" customFormat="1" ht="12.75" x14ac:dyDescent="0.2">
      <c r="B37" s="397" t="s">
        <v>177</v>
      </c>
      <c r="C37" s="360">
        <f>AVERAGE(E37:AB37)</f>
        <v>1026.0833333333333</v>
      </c>
      <c r="D37" s="360"/>
      <c r="E37" s="398">
        <f>'逾期垫付&amp;资金成本预测'!C7</f>
        <v>0</v>
      </c>
      <c r="F37" s="398">
        <f>'逾期垫付&amp;资金成本预测'!D7</f>
        <v>0</v>
      </c>
      <c r="G37" s="398">
        <f>'逾期垫付&amp;资金成本预测'!E7</f>
        <v>0</v>
      </c>
      <c r="H37" s="398">
        <f>'逾期垫付&amp;资金成本预测'!F7</f>
        <v>0</v>
      </c>
      <c r="I37" s="398">
        <f>'逾期垫付&amp;资金成本预测'!G7</f>
        <v>44.5</v>
      </c>
      <c r="J37" s="398">
        <f>'逾期垫付&amp;资金成本预测'!H7</f>
        <v>86.25</v>
      </c>
      <c r="K37" s="398">
        <f>'逾期垫付&amp;资金成本预测'!I7</f>
        <v>303.25</v>
      </c>
      <c r="L37" s="398">
        <f>'逾期垫付&amp;资金成本预测'!J7</f>
        <v>640</v>
      </c>
      <c r="M37" s="398">
        <f>'逾期垫付&amp;资金成本预测'!K7</f>
        <v>1088.25</v>
      </c>
      <c r="N37" s="398">
        <f>'逾期垫付&amp;资金成本预测'!L7</f>
        <v>1550.75</v>
      </c>
      <c r="O37" s="398">
        <f>'逾期垫付&amp;资金成本预测'!M7</f>
        <v>2113.75</v>
      </c>
      <c r="P37" s="398">
        <f>'逾期垫付&amp;资金成本预测'!N7</f>
        <v>2724.5</v>
      </c>
      <c r="Q37" s="398">
        <f>'逾期垫付&amp;资金成本预测'!O7</f>
        <v>2532</v>
      </c>
      <c r="R37" s="398">
        <f>'逾期垫付&amp;资金成本预测'!P7</f>
        <v>2339.5</v>
      </c>
      <c r="S37" s="398">
        <f>'逾期垫付&amp;资金成本预测'!Q7</f>
        <v>2147</v>
      </c>
      <c r="T37" s="398">
        <f>'逾期垫付&amp;资金成本预测'!R7</f>
        <v>1953.8</v>
      </c>
      <c r="U37" s="398">
        <f>'逾期垫付&amp;资金成本预测'!S7</f>
        <v>1749.8</v>
      </c>
      <c r="V37" s="398">
        <f>'逾期垫付&amp;资金成本预测'!T7</f>
        <v>1545.75</v>
      </c>
      <c r="W37" s="398">
        <f>'逾期垫付&amp;资金成本预测'!U7</f>
        <v>1299.1499999999999</v>
      </c>
      <c r="X37" s="398">
        <f>'逾期垫付&amp;资金成本预测'!V7</f>
        <v>1031.7999999999997</v>
      </c>
      <c r="Y37" s="398">
        <f>'逾期垫付&amp;资金成本预测'!W7</f>
        <v>753.34999999999968</v>
      </c>
      <c r="Z37" s="398">
        <f>'逾期垫付&amp;资金成本预测'!X7</f>
        <v>492.24999999999966</v>
      </c>
      <c r="AA37" s="398">
        <f>'逾期垫付&amp;资金成本预测'!Y7</f>
        <v>230.34999999999957</v>
      </c>
      <c r="AB37" s="399">
        <f>'逾期垫付&amp;资金成本预测'!Z7</f>
        <v>0</v>
      </c>
      <c r="AC37" s="400"/>
    </row>
    <row r="38" spans="2:29" s="345" customFormat="1" ht="13.5" thickBot="1" x14ac:dyDescent="0.25">
      <c r="B38" s="401" t="s">
        <v>180</v>
      </c>
      <c r="C38" s="361"/>
      <c r="D38" s="361">
        <f>SUM(E38:AB38)</f>
        <v>194.95583333333332</v>
      </c>
      <c r="E38" s="402">
        <f>'逾期垫付&amp;资金成本预测'!C8</f>
        <v>0</v>
      </c>
      <c r="F38" s="402">
        <f>'逾期垫付&amp;资金成本预测'!D8</f>
        <v>0</v>
      </c>
      <c r="G38" s="402">
        <f>'逾期垫付&amp;资金成本预测'!E8</f>
        <v>0</v>
      </c>
      <c r="H38" s="402">
        <f>'逾期垫付&amp;资金成本预测'!F8</f>
        <v>0</v>
      </c>
      <c r="I38" s="402">
        <f>'逾期垫付&amp;资金成本预测'!G8</f>
        <v>0.17614583333333333</v>
      </c>
      <c r="J38" s="402">
        <f>'逾期垫付&amp;资金成本预测'!H8</f>
        <v>0.51755208333333336</v>
      </c>
      <c r="K38" s="402">
        <f>'逾期垫付&amp;资金成本预测'!I8</f>
        <v>1.5417708333333333</v>
      </c>
      <c r="L38" s="402">
        <f>'逾期垫付&amp;资金成本预测'!J8</f>
        <v>3.7336979166666668</v>
      </c>
      <c r="M38" s="402">
        <f>'逾期垫付&amp;资金成本预测'!K8</f>
        <v>6.8409895833333332</v>
      </c>
      <c r="N38" s="402">
        <f>'逾期垫付&amp;资金成本预测'!L8</f>
        <v>10.446041666666668</v>
      </c>
      <c r="O38" s="402">
        <f>'逾期垫付&amp;资金成本预测'!M8</f>
        <v>14.5053125</v>
      </c>
      <c r="P38" s="402">
        <f>'逾期垫付&amp;资金成本预测'!N8</f>
        <v>19.151406250000001</v>
      </c>
      <c r="Q38" s="402">
        <f>'逾期垫付&amp;资金成本预测'!O8</f>
        <v>20.806979166666668</v>
      </c>
      <c r="R38" s="402">
        <f>'逾期垫付&amp;资金成本预测'!P8</f>
        <v>19.283020833333335</v>
      </c>
      <c r="S38" s="402">
        <f>'逾期垫付&amp;资金成本预测'!Q8</f>
        <v>17.759062500000002</v>
      </c>
      <c r="T38" s="402">
        <f>'逾期垫付&amp;资金成本预测'!R8</f>
        <v>16.232333333333333</v>
      </c>
      <c r="U38" s="402">
        <f>'逾期垫付&amp;资金成本预测'!S8</f>
        <v>14.660083333333333</v>
      </c>
      <c r="V38" s="402">
        <f>'逾期垫付&amp;资金成本预测'!T8</f>
        <v>13.044885416666668</v>
      </c>
      <c r="W38" s="402">
        <f>'逾期垫付&amp;资金成本预测'!U8</f>
        <v>11.2610625</v>
      </c>
      <c r="X38" s="402">
        <f>'逾期垫付&amp;资金成本预测'!V8</f>
        <v>9.2266770833333336</v>
      </c>
      <c r="Y38" s="402">
        <f>'逾期垫付&amp;资金成本预测'!W8</f>
        <v>7.0662187499999973</v>
      </c>
      <c r="Z38" s="402">
        <f>'逾期垫付&amp;资金成本预测'!X8</f>
        <v>4.9304999999999977</v>
      </c>
      <c r="AA38" s="402">
        <f>'逾期垫付&amp;资金成本预测'!Y8</f>
        <v>2.8602916666666633</v>
      </c>
      <c r="AB38" s="403">
        <f>'逾期垫付&amp;资金成本预测'!Z8</f>
        <v>0.91180208333333157</v>
      </c>
      <c r="AC38" s="400"/>
    </row>
    <row r="39" spans="2:29" x14ac:dyDescent="0.3">
      <c r="B39" s="404"/>
      <c r="C39" s="405"/>
      <c r="D39" s="405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406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7"/>
    </row>
  </sheetData>
  <mergeCells count="2">
    <mergeCell ref="B2:Q2"/>
    <mergeCell ref="B1:Q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30"/>
  <sheetViews>
    <sheetView tabSelected="1" zoomScaleNormal="100" workbookViewId="0">
      <selection activeCell="Q14" sqref="Q14"/>
    </sheetView>
  </sheetViews>
  <sheetFormatPr defaultRowHeight="15.75" customHeight="1" outlineLevelRow="1" x14ac:dyDescent="0.2"/>
  <cols>
    <col min="1" max="1" width="2.5" style="78" customWidth="1"/>
    <col min="2" max="2" width="16.625" style="78" customWidth="1"/>
    <col min="3" max="3" width="8.75" style="119" customWidth="1"/>
    <col min="4" max="15" width="8.75" style="85" customWidth="1"/>
    <col min="16" max="16384" width="9" style="78"/>
  </cols>
  <sheetData>
    <row r="1" spans="2:15" ht="15.75" customHeight="1" thickBot="1" x14ac:dyDescent="0.25">
      <c r="B1" s="244" t="s">
        <v>138</v>
      </c>
    </row>
    <row r="2" spans="2:15" ht="15.75" customHeight="1" x14ac:dyDescent="0.2">
      <c r="B2" s="218" t="s">
        <v>127</v>
      </c>
      <c r="C2" s="219" t="s">
        <v>50</v>
      </c>
      <c r="D2" s="219">
        <v>43466</v>
      </c>
      <c r="E2" s="219">
        <v>43497</v>
      </c>
      <c r="F2" s="219">
        <v>43525</v>
      </c>
      <c r="G2" s="219">
        <v>43556</v>
      </c>
      <c r="H2" s="219">
        <v>43586</v>
      </c>
      <c r="I2" s="219">
        <v>43617</v>
      </c>
      <c r="J2" s="219">
        <v>43647</v>
      </c>
      <c r="K2" s="219">
        <v>43678</v>
      </c>
      <c r="L2" s="219">
        <v>43709</v>
      </c>
      <c r="M2" s="219">
        <v>43739</v>
      </c>
      <c r="N2" s="219">
        <v>43770</v>
      </c>
      <c r="O2" s="220">
        <v>43800</v>
      </c>
    </row>
    <row r="3" spans="2:15" ht="15.75" customHeight="1" x14ac:dyDescent="0.3">
      <c r="B3" s="221" t="s">
        <v>136</v>
      </c>
      <c r="C3" s="242"/>
      <c r="D3" s="242">
        <f>财务模型假设!$D$15</f>
        <v>7.6449999999999996</v>
      </c>
      <c r="E3" s="242">
        <f>财务模型假设!$D$15</f>
        <v>7.6449999999999996</v>
      </c>
      <c r="F3" s="242">
        <f>财务模型假设!$D$15</f>
        <v>7.6449999999999996</v>
      </c>
      <c r="G3" s="242">
        <f>财务模型假设!$D$15</f>
        <v>7.6449999999999996</v>
      </c>
      <c r="H3" s="242">
        <f>财务模型假设!$D$15</f>
        <v>7.6449999999999996</v>
      </c>
      <c r="I3" s="242">
        <f>财务模型假设!$D$15</f>
        <v>7.6449999999999996</v>
      </c>
      <c r="J3" s="242">
        <f>财务模型假设!$D$15</f>
        <v>7.6449999999999996</v>
      </c>
      <c r="K3" s="242">
        <f>财务模型假设!$D$15</f>
        <v>7.6449999999999996</v>
      </c>
      <c r="L3" s="242">
        <f>财务模型假设!$D$15</f>
        <v>7.6449999999999996</v>
      </c>
      <c r="M3" s="242">
        <f>财务模型假设!$D$15</f>
        <v>7.6449999999999996</v>
      </c>
      <c r="N3" s="242">
        <f>财务模型假设!$D$15</f>
        <v>7.6449999999999996</v>
      </c>
      <c r="O3" s="243">
        <f>财务模型假设!$D$15</f>
        <v>7.6449999999999996</v>
      </c>
    </row>
    <row r="4" spans="2:15" ht="15.75" customHeight="1" x14ac:dyDescent="0.3">
      <c r="B4" s="221" t="s">
        <v>137</v>
      </c>
      <c r="C4" s="222"/>
      <c r="D4" s="222">
        <f>财务模型假设!$D$5*'P&amp;L-毛利之上部分'!D3/12</f>
        <v>0.11467499999999999</v>
      </c>
      <c r="E4" s="222">
        <f>财务模型假设!$D$5*'P&amp;L-毛利之上部分'!E3/12</f>
        <v>0.11467499999999999</v>
      </c>
      <c r="F4" s="222">
        <f>财务模型假设!$D$5*'P&amp;L-毛利之上部分'!F3/12</f>
        <v>0.11467499999999999</v>
      </c>
      <c r="G4" s="222">
        <f>财务模型假设!$D$5*'P&amp;L-毛利之上部分'!G3/12</f>
        <v>0.11467499999999999</v>
      </c>
      <c r="H4" s="222">
        <f>财务模型假设!$D$5*'P&amp;L-毛利之上部分'!H3/12</f>
        <v>0.11467499999999999</v>
      </c>
      <c r="I4" s="222">
        <f>财务模型假设!$D$5*'P&amp;L-毛利之上部分'!I3/12</f>
        <v>0.11467499999999999</v>
      </c>
      <c r="J4" s="222">
        <f>财务模型假设!$D$5*'P&amp;L-毛利之上部分'!J3/12</f>
        <v>0.11467499999999999</v>
      </c>
      <c r="K4" s="222">
        <f>财务模型假设!$D$5*'P&amp;L-毛利之上部分'!K3/12</f>
        <v>0.11467499999999999</v>
      </c>
      <c r="L4" s="222">
        <f>财务模型假设!$D$5*'P&amp;L-毛利之上部分'!L3/12</f>
        <v>0.11467499999999999</v>
      </c>
      <c r="M4" s="222">
        <f>财务模型假设!$D$5*'P&amp;L-毛利之上部分'!M3/12</f>
        <v>0.11467499999999999</v>
      </c>
      <c r="N4" s="222">
        <f>财务模型假设!$D$5*'P&amp;L-毛利之上部分'!N3/12</f>
        <v>0.11467499999999999</v>
      </c>
      <c r="O4" s="223">
        <f>财务模型假设!$D$5*'P&amp;L-毛利之上部分'!O3/12</f>
        <v>0.11467499999999999</v>
      </c>
    </row>
    <row r="5" spans="2:15" ht="15.75" customHeight="1" x14ac:dyDescent="0.3">
      <c r="B5" s="221" t="s">
        <v>198</v>
      </c>
      <c r="C5" s="224">
        <v>23.6</v>
      </c>
      <c r="D5" s="224">
        <f t="shared" ref="D5:N5" si="0">D7/D6</f>
        <v>0</v>
      </c>
      <c r="E5" s="224">
        <f t="shared" si="0"/>
        <v>0</v>
      </c>
      <c r="F5" s="224">
        <f>F7/F6</f>
        <v>0</v>
      </c>
      <c r="G5" s="224">
        <f t="shared" si="0"/>
        <v>0</v>
      </c>
      <c r="H5" s="224">
        <f t="shared" si="0"/>
        <v>557.33750000000009</v>
      </c>
      <c r="I5" s="224">
        <f t="shared" si="0"/>
        <v>557.33750000000009</v>
      </c>
      <c r="J5" s="224">
        <f t="shared" si="0"/>
        <v>2786.6875</v>
      </c>
      <c r="K5" s="224">
        <f t="shared" si="0"/>
        <v>4458.7000000000007</v>
      </c>
      <c r="L5" s="224">
        <f t="shared" si="0"/>
        <v>6130.7125000000005</v>
      </c>
      <c r="M5" s="224">
        <f t="shared" si="0"/>
        <v>6688.05</v>
      </c>
      <c r="N5" s="224">
        <f t="shared" si="0"/>
        <v>8360.0625</v>
      </c>
      <c r="O5" s="225">
        <f>O7/O6</f>
        <v>9474.7375000000011</v>
      </c>
    </row>
    <row r="6" spans="2:15" ht="15.75" customHeight="1" x14ac:dyDescent="0.3">
      <c r="B6" s="221" t="s">
        <v>52</v>
      </c>
      <c r="C6" s="222"/>
      <c r="D6" s="222">
        <f>1/(1+D4)</f>
        <v>0.89712247964653369</v>
      </c>
      <c r="E6" s="222">
        <f t="shared" ref="E6:O6" si="1">1/(1+E4)</f>
        <v>0.89712247964653369</v>
      </c>
      <c r="F6" s="222">
        <f t="shared" si="1"/>
        <v>0.89712247964653369</v>
      </c>
      <c r="G6" s="222">
        <f t="shared" si="1"/>
        <v>0.89712247964653369</v>
      </c>
      <c r="H6" s="222">
        <f t="shared" si="1"/>
        <v>0.89712247964653369</v>
      </c>
      <c r="I6" s="222">
        <f t="shared" si="1"/>
        <v>0.89712247964653369</v>
      </c>
      <c r="J6" s="222">
        <f t="shared" si="1"/>
        <v>0.89712247964653369</v>
      </c>
      <c r="K6" s="222">
        <f t="shared" si="1"/>
        <v>0.89712247964653369</v>
      </c>
      <c r="L6" s="222">
        <f t="shared" si="1"/>
        <v>0.89712247964653369</v>
      </c>
      <c r="M6" s="222">
        <f t="shared" si="1"/>
        <v>0.89712247964653369</v>
      </c>
      <c r="N6" s="222">
        <f t="shared" si="1"/>
        <v>0.89712247964653369</v>
      </c>
      <c r="O6" s="223">
        <f t="shared" si="1"/>
        <v>0.89712247964653369</v>
      </c>
    </row>
    <row r="7" spans="2:15" s="101" customFormat="1" ht="15.75" customHeight="1" thickBot="1" x14ac:dyDescent="0.35">
      <c r="B7" s="245" t="s">
        <v>197</v>
      </c>
      <c r="C7" s="246">
        <f>财务模型假设!D7</f>
        <v>35000</v>
      </c>
      <c r="D7" s="246">
        <f>财务模型假设!E7</f>
        <v>0</v>
      </c>
      <c r="E7" s="246">
        <f>财务模型假设!F7</f>
        <v>0</v>
      </c>
      <c r="F7" s="246">
        <f>财务模型假设!G7</f>
        <v>0</v>
      </c>
      <c r="G7" s="246">
        <f>财务模型假设!H7</f>
        <v>0</v>
      </c>
      <c r="H7" s="246">
        <f>财务模型假设!I7</f>
        <v>500</v>
      </c>
      <c r="I7" s="246">
        <f>财务模型假设!J7</f>
        <v>500</v>
      </c>
      <c r="J7" s="246">
        <f>财务模型假设!K7</f>
        <v>2500</v>
      </c>
      <c r="K7" s="246">
        <f>财务模型假设!L7</f>
        <v>4000</v>
      </c>
      <c r="L7" s="246">
        <f>财务模型假设!M7</f>
        <v>5500</v>
      </c>
      <c r="M7" s="246">
        <f>财务模型假设!N7</f>
        <v>6000</v>
      </c>
      <c r="N7" s="246">
        <f>财务模型假设!O7</f>
        <v>7500</v>
      </c>
      <c r="O7" s="247">
        <f>财务模型假设!P7</f>
        <v>8500</v>
      </c>
    </row>
    <row r="8" spans="2:15" s="101" customFormat="1" ht="15.75" customHeight="1" x14ac:dyDescent="0.3">
      <c r="B8" s="228" t="s">
        <v>200</v>
      </c>
      <c r="C8" s="226">
        <f>SUM(D8:O8)</f>
        <v>4013.6249999999995</v>
      </c>
      <c r="D8" s="226">
        <f>D7*D4</f>
        <v>0</v>
      </c>
      <c r="E8" s="226">
        <f t="shared" ref="E8:O8" si="2">E7*E4</f>
        <v>0</v>
      </c>
      <c r="F8" s="226">
        <f>F7*F4</f>
        <v>0</v>
      </c>
      <c r="G8" s="226">
        <f t="shared" si="2"/>
        <v>0</v>
      </c>
      <c r="H8" s="226">
        <f t="shared" si="2"/>
        <v>57.337499999999991</v>
      </c>
      <c r="I8" s="226">
        <f t="shared" si="2"/>
        <v>57.337499999999991</v>
      </c>
      <c r="J8" s="226">
        <f t="shared" si="2"/>
        <v>286.68749999999994</v>
      </c>
      <c r="K8" s="226">
        <f t="shared" si="2"/>
        <v>458.69999999999993</v>
      </c>
      <c r="L8" s="226">
        <f t="shared" si="2"/>
        <v>630.71249999999986</v>
      </c>
      <c r="M8" s="226">
        <f t="shared" si="2"/>
        <v>688.05</v>
      </c>
      <c r="N8" s="226">
        <f t="shared" si="2"/>
        <v>860.06249999999989</v>
      </c>
      <c r="O8" s="227">
        <f t="shared" si="2"/>
        <v>974.73749999999984</v>
      </c>
    </row>
    <row r="9" spans="2:15" s="83" customFormat="1" ht="15.75" customHeight="1" x14ac:dyDescent="0.3">
      <c r="B9" s="229" t="s">
        <v>27</v>
      </c>
      <c r="C9" s="230">
        <f t="shared" ref="C9:C11" si="3">SUM(D9:O9)</f>
        <v>2086.4479166666665</v>
      </c>
      <c r="D9" s="230">
        <f>D7*财务模型假设!E10*D3/12</f>
        <v>0</v>
      </c>
      <c r="E9" s="230">
        <f>E7*财务模型假设!F10*E3/12</f>
        <v>0</v>
      </c>
      <c r="F9" s="230">
        <f>F7*财务模型假设!G10*F3/12</f>
        <v>0</v>
      </c>
      <c r="G9" s="230">
        <f>G7*财务模型假设!H10*G3/12</f>
        <v>0</v>
      </c>
      <c r="H9" s="230">
        <f>H7*财务模型假设!I10*H3/12</f>
        <v>30.261458333333334</v>
      </c>
      <c r="I9" s="230">
        <f>I7*财务模型假设!J10*I3/12</f>
        <v>30.261458333333334</v>
      </c>
      <c r="J9" s="230">
        <f>J7*财务模型假设!K10*J3/12</f>
        <v>149.71458333333334</v>
      </c>
      <c r="K9" s="230">
        <f>K7*财务模型假设!L10*K3/12</f>
        <v>238.90625</v>
      </c>
      <c r="L9" s="230">
        <f>L7*财务模型假设!M10*L3/12</f>
        <v>328.09791666666666</v>
      </c>
      <c r="M9" s="230">
        <f>M7*财务模型假设!N10*M3/12</f>
        <v>356.76666666666659</v>
      </c>
      <c r="N9" s="230">
        <f>N7*财务模型假设!O10*N3/12</f>
        <v>445.95833333333326</v>
      </c>
      <c r="O9" s="231">
        <f>O7*财务模型假设!P10*O3/12</f>
        <v>506.48124999999999</v>
      </c>
    </row>
    <row r="10" spans="2:15" ht="15.75" customHeight="1" x14ac:dyDescent="0.3">
      <c r="B10" s="229" t="s">
        <v>133</v>
      </c>
      <c r="C10" s="224">
        <f t="shared" si="3"/>
        <v>122.1757547169811</v>
      </c>
      <c r="D10" s="224">
        <f t="shared" ref="D10:O10" si="4">(D8-D9)/1.06*0.06*(1+12%)</f>
        <v>0</v>
      </c>
      <c r="E10" s="224">
        <f t="shared" si="4"/>
        <v>0</v>
      </c>
      <c r="F10" s="224">
        <f t="shared" si="4"/>
        <v>0</v>
      </c>
      <c r="G10" s="224">
        <f t="shared" si="4"/>
        <v>0</v>
      </c>
      <c r="H10" s="224">
        <f t="shared" si="4"/>
        <v>1.7165188679245278</v>
      </c>
      <c r="I10" s="224">
        <f t="shared" si="4"/>
        <v>1.7165188679245278</v>
      </c>
      <c r="J10" s="224">
        <f t="shared" si="4"/>
        <v>8.6835660377358455</v>
      </c>
      <c r="K10" s="224">
        <f t="shared" si="4"/>
        <v>13.934094339622638</v>
      </c>
      <c r="L10" s="224">
        <f t="shared" si="4"/>
        <v>19.184622641509424</v>
      </c>
      <c r="M10" s="224">
        <f t="shared" si="4"/>
        <v>21.002113207547172</v>
      </c>
      <c r="N10" s="224">
        <f t="shared" si="4"/>
        <v>26.25264150943396</v>
      </c>
      <c r="O10" s="225">
        <f t="shared" si="4"/>
        <v>29.685679245283012</v>
      </c>
    </row>
    <row r="11" spans="2:15" s="98" customFormat="1" ht="15.75" customHeight="1" x14ac:dyDescent="0.3">
      <c r="B11" s="229" t="s">
        <v>61</v>
      </c>
      <c r="C11" s="230">
        <f t="shared" si="3"/>
        <v>948.5</v>
      </c>
      <c r="D11" s="230">
        <f>D7*财务模型假设!$D$17</f>
        <v>0</v>
      </c>
      <c r="E11" s="230">
        <f>E7*财务模型假设!$D$17</f>
        <v>0</v>
      </c>
      <c r="F11" s="230">
        <f>F7*财务模型假设!$D$17</f>
        <v>0</v>
      </c>
      <c r="G11" s="230">
        <f>G7*财务模型假设!$D$17</f>
        <v>0</v>
      </c>
      <c r="H11" s="230">
        <f>H7*财务模型假设!$D$17</f>
        <v>13.549999999999999</v>
      </c>
      <c r="I11" s="230">
        <f>I7*财务模型假设!$D$17</f>
        <v>13.549999999999999</v>
      </c>
      <c r="J11" s="230">
        <f>J7*财务模型假设!$D$17</f>
        <v>67.75</v>
      </c>
      <c r="K11" s="230">
        <f>K7*财务模型假设!$D$17</f>
        <v>108.39999999999999</v>
      </c>
      <c r="L11" s="230">
        <f>L7*财务模型假设!$D$17</f>
        <v>149.04999999999998</v>
      </c>
      <c r="M11" s="230">
        <f>M7*财务模型假设!$D$17</f>
        <v>162.6</v>
      </c>
      <c r="N11" s="230">
        <f>N7*财务模型假设!$D$17</f>
        <v>203.25</v>
      </c>
      <c r="O11" s="231">
        <f>O7*财务模型假设!$D$17</f>
        <v>230.35</v>
      </c>
    </row>
    <row r="12" spans="2:15" s="101" customFormat="1" ht="15.75" customHeight="1" x14ac:dyDescent="0.3">
      <c r="B12" s="232" t="s">
        <v>201</v>
      </c>
      <c r="C12" s="226">
        <f t="shared" ref="C12:O12" si="5">C8-C9-C10-C11</f>
        <v>856.50132861635188</v>
      </c>
      <c r="D12" s="226">
        <f t="shared" si="5"/>
        <v>0</v>
      </c>
      <c r="E12" s="226">
        <f t="shared" si="5"/>
        <v>0</v>
      </c>
      <c r="F12" s="226">
        <f t="shared" si="5"/>
        <v>0</v>
      </c>
      <c r="G12" s="226">
        <f t="shared" si="5"/>
        <v>0</v>
      </c>
      <c r="H12" s="226">
        <f t="shared" si="5"/>
        <v>11.809522798742131</v>
      </c>
      <c r="I12" s="226">
        <f t="shared" si="5"/>
        <v>11.809522798742131</v>
      </c>
      <c r="J12" s="226">
        <f t="shared" si="5"/>
        <v>60.539350628930748</v>
      </c>
      <c r="K12" s="226">
        <f t="shared" si="5"/>
        <v>97.459655660377294</v>
      </c>
      <c r="L12" s="226">
        <f t="shared" si="5"/>
        <v>134.37996069182381</v>
      </c>
      <c r="M12" s="226">
        <f t="shared" si="5"/>
        <v>147.68122012578621</v>
      </c>
      <c r="N12" s="226">
        <f t="shared" si="5"/>
        <v>184.60152515723269</v>
      </c>
      <c r="O12" s="227">
        <f t="shared" si="5"/>
        <v>208.22057075471687</v>
      </c>
    </row>
    <row r="13" spans="2:15" s="83" customFormat="1" ht="15.75" customHeight="1" x14ac:dyDescent="0.3">
      <c r="B13" s="233" t="s">
        <v>63</v>
      </c>
      <c r="C13" s="234">
        <f>C12/C7</f>
        <v>2.4471466531895768E-2</v>
      </c>
      <c r="D13" s="230">
        <f>IFERROR(D12/D7,0)</f>
        <v>0</v>
      </c>
      <c r="E13" s="230">
        <f t="shared" ref="E13:O13" si="6">IFERROR(E12/E7,0)</f>
        <v>0</v>
      </c>
      <c r="F13" s="234">
        <f t="shared" si="6"/>
        <v>0</v>
      </c>
      <c r="G13" s="234">
        <f t="shared" si="6"/>
        <v>0</v>
      </c>
      <c r="H13" s="234">
        <f t="shared" si="6"/>
        <v>2.3619045597484262E-2</v>
      </c>
      <c r="I13" s="234">
        <f t="shared" si="6"/>
        <v>2.3619045597484262E-2</v>
      </c>
      <c r="J13" s="234">
        <f t="shared" si="6"/>
        <v>2.4215740251572301E-2</v>
      </c>
      <c r="K13" s="234">
        <f t="shared" si="6"/>
        <v>2.4364913915094325E-2</v>
      </c>
      <c r="L13" s="234">
        <f t="shared" si="6"/>
        <v>2.4432720125786147E-2</v>
      </c>
      <c r="M13" s="234">
        <f t="shared" si="6"/>
        <v>2.4613536687631034E-2</v>
      </c>
      <c r="N13" s="234">
        <f t="shared" si="6"/>
        <v>2.4613536687631023E-2</v>
      </c>
      <c r="O13" s="235">
        <f t="shared" si="6"/>
        <v>2.4496537735849044E-2</v>
      </c>
    </row>
    <row r="14" spans="2:15" s="100" customFormat="1" ht="15.75" customHeight="1" x14ac:dyDescent="0.3">
      <c r="B14" s="236" t="s">
        <v>202</v>
      </c>
      <c r="C14" s="237">
        <f>SUM(D14:O14)</f>
        <v>332.13002657232704</v>
      </c>
      <c r="D14" s="237">
        <f>D16+D18+D20+D22+D24</f>
        <v>0</v>
      </c>
      <c r="E14" s="237">
        <f t="shared" ref="E14:F14" si="7">E16+E18+E20+E22+E24</f>
        <v>0</v>
      </c>
      <c r="F14" s="237">
        <f t="shared" si="7"/>
        <v>0</v>
      </c>
      <c r="G14" s="237">
        <f>G16+G18+G20+G22+G24</f>
        <v>0</v>
      </c>
      <c r="H14" s="237">
        <f t="shared" ref="H14:O14" si="8">H16+H18+H20+H22+H24</f>
        <v>4.7361904559748425</v>
      </c>
      <c r="I14" s="237">
        <f t="shared" si="8"/>
        <v>4.7361904559748425</v>
      </c>
      <c r="J14" s="237">
        <f t="shared" si="8"/>
        <v>23.710787012578614</v>
      </c>
      <c r="K14" s="237">
        <f t="shared" si="8"/>
        <v>37.949193113207549</v>
      </c>
      <c r="L14" s="237">
        <f t="shared" si="8"/>
        <v>52.187599213836478</v>
      </c>
      <c r="M14" s="237">
        <f t="shared" si="8"/>
        <v>56.953624402515722</v>
      </c>
      <c r="N14" s="237">
        <f t="shared" si="8"/>
        <v>71.19203050314465</v>
      </c>
      <c r="O14" s="238">
        <f t="shared" si="8"/>
        <v>80.664411415094335</v>
      </c>
    </row>
    <row r="15" spans="2:15" ht="15.75" hidden="1" customHeight="1" outlineLevel="1" x14ac:dyDescent="0.3">
      <c r="B15" s="221" t="s">
        <v>35</v>
      </c>
      <c r="C15" s="239">
        <f>C14/C12</f>
        <v>0.38777526137510088</v>
      </c>
      <c r="D15" s="239">
        <f>IFERROR(D14/D12,0)</f>
        <v>0</v>
      </c>
      <c r="E15" s="239">
        <f t="shared" ref="E15:O15" si="9">IFERROR(E14/E12,0)</f>
        <v>0</v>
      </c>
      <c r="F15" s="239">
        <f t="shared" si="9"/>
        <v>0</v>
      </c>
      <c r="G15" s="239">
        <f t="shared" si="9"/>
        <v>0</v>
      </c>
      <c r="H15" s="239">
        <f t="shared" si="9"/>
        <v>0.40104841971085475</v>
      </c>
      <c r="I15" s="239">
        <f t="shared" si="9"/>
        <v>0.40104841971085475</v>
      </c>
      <c r="J15" s="239">
        <f t="shared" si="9"/>
        <v>0.39165909059565668</v>
      </c>
      <c r="K15" s="239">
        <f t="shared" si="9"/>
        <v>0.38938361577482961</v>
      </c>
      <c r="L15" s="239">
        <f t="shared" si="9"/>
        <v>0.38835849441509601</v>
      </c>
      <c r="M15" s="239">
        <f t="shared" si="9"/>
        <v>0.38565245028451117</v>
      </c>
      <c r="N15" s="239">
        <f t="shared" si="9"/>
        <v>0.38565245028451134</v>
      </c>
      <c r="O15" s="239">
        <f t="shared" si="9"/>
        <v>0.38739885844476307</v>
      </c>
    </row>
    <row r="16" spans="2:15" ht="15.75" customHeight="1" collapsed="1" x14ac:dyDescent="0.3">
      <c r="B16" s="229" t="s">
        <v>36</v>
      </c>
      <c r="C16" s="224">
        <f>SUM(D16:O16)</f>
        <v>0</v>
      </c>
      <c r="D16" s="224">
        <f>D$12*D17</f>
        <v>0</v>
      </c>
      <c r="E16" s="224">
        <f t="shared" ref="E16:O16" si="10">E$12*E17</f>
        <v>0</v>
      </c>
      <c r="F16" s="224">
        <f t="shared" si="10"/>
        <v>0</v>
      </c>
      <c r="G16" s="224">
        <f t="shared" si="10"/>
        <v>0</v>
      </c>
      <c r="H16" s="224">
        <f t="shared" si="10"/>
        <v>0</v>
      </c>
      <c r="I16" s="224">
        <f t="shared" si="10"/>
        <v>0</v>
      </c>
      <c r="J16" s="224">
        <f t="shared" si="10"/>
        <v>0</v>
      </c>
      <c r="K16" s="224">
        <f t="shared" si="10"/>
        <v>0</v>
      </c>
      <c r="L16" s="224">
        <f t="shared" si="10"/>
        <v>0</v>
      </c>
      <c r="M16" s="224">
        <f t="shared" si="10"/>
        <v>0</v>
      </c>
      <c r="N16" s="224">
        <f t="shared" si="10"/>
        <v>0</v>
      </c>
      <c r="O16" s="225">
        <f t="shared" si="10"/>
        <v>0</v>
      </c>
    </row>
    <row r="17" spans="2:15" ht="15.75" hidden="1" customHeight="1" outlineLevel="1" x14ac:dyDescent="0.3">
      <c r="B17" s="221" t="s">
        <v>64</v>
      </c>
      <c r="C17" s="248"/>
      <c r="D17" s="248">
        <f>财务模型假设!$D$21</f>
        <v>0</v>
      </c>
      <c r="E17" s="248">
        <f>财务模型假设!$D$21</f>
        <v>0</v>
      </c>
      <c r="F17" s="248">
        <f>财务模型假设!$D$21</f>
        <v>0</v>
      </c>
      <c r="G17" s="248">
        <f>财务模型假设!$D$21</f>
        <v>0</v>
      </c>
      <c r="H17" s="248">
        <f>财务模型假设!$D$21</f>
        <v>0</v>
      </c>
      <c r="I17" s="248">
        <f>财务模型假设!$D$21</f>
        <v>0</v>
      </c>
      <c r="J17" s="248">
        <f>财务模型假设!$D$21</f>
        <v>0</v>
      </c>
      <c r="K17" s="248">
        <f>财务模型假设!$D$21</f>
        <v>0</v>
      </c>
      <c r="L17" s="248">
        <f>财务模型假设!$D$21</f>
        <v>0</v>
      </c>
      <c r="M17" s="248">
        <f>财务模型假设!$D$21</f>
        <v>0</v>
      </c>
      <c r="N17" s="248">
        <f>财务模型假设!$D$21</f>
        <v>0</v>
      </c>
      <c r="O17" s="248">
        <f>财务模型假设!$D$21</f>
        <v>0</v>
      </c>
    </row>
    <row r="18" spans="2:15" ht="15.75" customHeight="1" collapsed="1" x14ac:dyDescent="0.3">
      <c r="B18" s="229" t="s">
        <v>38</v>
      </c>
      <c r="C18" s="224">
        <f>SUM(D18:O18)</f>
        <v>0</v>
      </c>
      <c r="D18" s="224">
        <f>D$12*D19</f>
        <v>0</v>
      </c>
      <c r="E18" s="224">
        <f t="shared" ref="E18:O18" si="11">E$12*E19</f>
        <v>0</v>
      </c>
      <c r="F18" s="224">
        <f t="shared" si="11"/>
        <v>0</v>
      </c>
      <c r="G18" s="224">
        <f t="shared" si="11"/>
        <v>0</v>
      </c>
      <c r="H18" s="224">
        <f t="shared" si="11"/>
        <v>0</v>
      </c>
      <c r="I18" s="224">
        <f t="shared" si="11"/>
        <v>0</v>
      </c>
      <c r="J18" s="224">
        <f t="shared" si="11"/>
        <v>0</v>
      </c>
      <c r="K18" s="224">
        <f t="shared" si="11"/>
        <v>0</v>
      </c>
      <c r="L18" s="224">
        <f t="shared" si="11"/>
        <v>0</v>
      </c>
      <c r="M18" s="224">
        <f t="shared" si="11"/>
        <v>0</v>
      </c>
      <c r="N18" s="224">
        <f t="shared" si="11"/>
        <v>0</v>
      </c>
      <c r="O18" s="225">
        <f t="shared" si="11"/>
        <v>0</v>
      </c>
    </row>
    <row r="19" spans="2:15" ht="15.75" hidden="1" customHeight="1" outlineLevel="1" x14ac:dyDescent="0.3">
      <c r="B19" s="221" t="s">
        <v>65</v>
      </c>
      <c r="C19" s="222">
        <f>C18/C$12</f>
        <v>0</v>
      </c>
      <c r="D19" s="222">
        <f>财务模型假设!$D$22</f>
        <v>0</v>
      </c>
      <c r="E19" s="222">
        <f>财务模型假设!$D$22</f>
        <v>0</v>
      </c>
      <c r="F19" s="222">
        <f>财务模型假设!$D$22</f>
        <v>0</v>
      </c>
      <c r="G19" s="222">
        <f>财务模型假设!$D$22</f>
        <v>0</v>
      </c>
      <c r="H19" s="222">
        <f>财务模型假设!$D$22</f>
        <v>0</v>
      </c>
      <c r="I19" s="222">
        <f>财务模型假设!$D$22</f>
        <v>0</v>
      </c>
      <c r="J19" s="222">
        <f>财务模型假设!$D$22</f>
        <v>0</v>
      </c>
      <c r="K19" s="222">
        <f>财务模型假设!$D$22</f>
        <v>0</v>
      </c>
      <c r="L19" s="222">
        <f>财务模型假设!$D$22</f>
        <v>0</v>
      </c>
      <c r="M19" s="222">
        <f>财务模型假设!$D$22</f>
        <v>0</v>
      </c>
      <c r="N19" s="222">
        <f>财务模型假设!$D$22</f>
        <v>0</v>
      </c>
      <c r="O19" s="222">
        <f>财务模型假设!$D$22</f>
        <v>0</v>
      </c>
    </row>
    <row r="20" spans="2:15" ht="15.75" customHeight="1" collapsed="1" x14ac:dyDescent="0.3">
      <c r="B20" s="229" t="s">
        <v>40</v>
      </c>
      <c r="C20" s="224">
        <f>SUM(D20:O20)</f>
        <v>8.56501328616352</v>
      </c>
      <c r="D20" s="224">
        <f>D$12*D21</f>
        <v>0</v>
      </c>
      <c r="E20" s="224">
        <f t="shared" ref="E20:O20" si="12">E$12*E21</f>
        <v>0</v>
      </c>
      <c r="F20" s="224">
        <f t="shared" si="12"/>
        <v>0</v>
      </c>
      <c r="G20" s="224">
        <f t="shared" si="12"/>
        <v>0</v>
      </c>
      <c r="H20" s="224">
        <f t="shared" si="12"/>
        <v>0.11809522798742132</v>
      </c>
      <c r="I20" s="224">
        <f t="shared" si="12"/>
        <v>0.11809522798742132</v>
      </c>
      <c r="J20" s="224">
        <f t="shared" si="12"/>
        <v>0.60539350628930755</v>
      </c>
      <c r="K20" s="224">
        <f t="shared" si="12"/>
        <v>0.97459655660377298</v>
      </c>
      <c r="L20" s="224">
        <f t="shared" si="12"/>
        <v>1.3437996069182381</v>
      </c>
      <c r="M20" s="224">
        <f t="shared" si="12"/>
        <v>1.4768122012578622</v>
      </c>
      <c r="N20" s="224">
        <f t="shared" si="12"/>
        <v>1.8460152515723269</v>
      </c>
      <c r="O20" s="225">
        <f t="shared" si="12"/>
        <v>2.0822057075471689</v>
      </c>
    </row>
    <row r="21" spans="2:15" ht="15.75" hidden="1" customHeight="1" outlineLevel="1" x14ac:dyDescent="0.3">
      <c r="B21" s="221" t="s">
        <v>66</v>
      </c>
      <c r="C21" s="222">
        <f>C20/C$12</f>
        <v>1.0000000000000002E-2</v>
      </c>
      <c r="D21" s="222">
        <f>财务模型假设!$D$23</f>
        <v>0.01</v>
      </c>
      <c r="E21" s="222">
        <f>财务模型假设!$D$23</f>
        <v>0.01</v>
      </c>
      <c r="F21" s="222">
        <f>财务模型假设!$D$23</f>
        <v>0.01</v>
      </c>
      <c r="G21" s="222">
        <f>财务模型假设!$D$23</f>
        <v>0.01</v>
      </c>
      <c r="H21" s="222">
        <f>财务模型假设!$D$23</f>
        <v>0.01</v>
      </c>
      <c r="I21" s="222">
        <f>财务模型假设!$D$23</f>
        <v>0.01</v>
      </c>
      <c r="J21" s="222">
        <f>财务模型假设!$D$23</f>
        <v>0.01</v>
      </c>
      <c r="K21" s="222">
        <f>财务模型假设!$D$23</f>
        <v>0.01</v>
      </c>
      <c r="L21" s="222">
        <f>财务模型假设!$D$23</f>
        <v>0.01</v>
      </c>
      <c r="M21" s="222">
        <f>财务模型假设!$D$23</f>
        <v>0.01</v>
      </c>
      <c r="N21" s="222">
        <f>财务模型假设!$D$23</f>
        <v>0.01</v>
      </c>
      <c r="O21" s="222">
        <f>财务模型假设!$D$23</f>
        <v>0.01</v>
      </c>
    </row>
    <row r="22" spans="2:15" ht="15.75" customHeight="1" collapsed="1" x14ac:dyDescent="0.3">
      <c r="B22" s="229" t="s">
        <v>42</v>
      </c>
      <c r="C22" s="224">
        <f>SUM(D22:O22)</f>
        <v>8.56501328616352</v>
      </c>
      <c r="D22" s="224">
        <f>D$12*D23</f>
        <v>0</v>
      </c>
      <c r="E22" s="224">
        <f t="shared" ref="E22:O22" si="13">E$12*E23</f>
        <v>0</v>
      </c>
      <c r="F22" s="224">
        <f t="shared" si="13"/>
        <v>0</v>
      </c>
      <c r="G22" s="224">
        <f t="shared" si="13"/>
        <v>0</v>
      </c>
      <c r="H22" s="224">
        <f t="shared" si="13"/>
        <v>0.11809522798742132</v>
      </c>
      <c r="I22" s="224">
        <f t="shared" si="13"/>
        <v>0.11809522798742132</v>
      </c>
      <c r="J22" s="224">
        <f t="shared" si="13"/>
        <v>0.60539350628930755</v>
      </c>
      <c r="K22" s="224">
        <f t="shared" si="13"/>
        <v>0.97459655660377298</v>
      </c>
      <c r="L22" s="224">
        <f t="shared" si="13"/>
        <v>1.3437996069182381</v>
      </c>
      <c r="M22" s="224">
        <f t="shared" si="13"/>
        <v>1.4768122012578622</v>
      </c>
      <c r="N22" s="224">
        <f t="shared" si="13"/>
        <v>1.8460152515723269</v>
      </c>
      <c r="O22" s="225">
        <f t="shared" si="13"/>
        <v>2.0822057075471689</v>
      </c>
    </row>
    <row r="23" spans="2:15" ht="15.75" hidden="1" customHeight="1" outlineLevel="1" x14ac:dyDescent="0.3">
      <c r="B23" s="221" t="s">
        <v>67</v>
      </c>
      <c r="C23" s="241">
        <f>C22/C$12</f>
        <v>1.0000000000000002E-2</v>
      </c>
      <c r="D23" s="241">
        <f>财务模型假设!$D$24</f>
        <v>0.01</v>
      </c>
      <c r="E23" s="241">
        <f>财务模型假设!$D$24</f>
        <v>0.01</v>
      </c>
      <c r="F23" s="241">
        <f>财务模型假设!$D$24</f>
        <v>0.01</v>
      </c>
      <c r="G23" s="241">
        <f>财务模型假设!$D$24</f>
        <v>0.01</v>
      </c>
      <c r="H23" s="241">
        <f>财务模型假设!$D$24</f>
        <v>0.01</v>
      </c>
      <c r="I23" s="241">
        <f>财务模型假设!$D$24</f>
        <v>0.01</v>
      </c>
      <c r="J23" s="241">
        <f>财务模型假设!$D$24</f>
        <v>0.01</v>
      </c>
      <c r="K23" s="241">
        <f>财务模型假设!$D$24</f>
        <v>0.01</v>
      </c>
      <c r="L23" s="241">
        <f>财务模型假设!$D$24</f>
        <v>0.01</v>
      </c>
      <c r="M23" s="241">
        <f>财务模型假设!$D$24</f>
        <v>0.01</v>
      </c>
      <c r="N23" s="241">
        <f>财务模型假设!$D$24</f>
        <v>0.01</v>
      </c>
      <c r="O23" s="241">
        <f>财务模型假设!$D$24</f>
        <v>0.01</v>
      </c>
    </row>
    <row r="24" spans="2:15" ht="15.75" customHeight="1" collapsed="1" x14ac:dyDescent="0.3">
      <c r="B24" s="229" t="s">
        <v>44</v>
      </c>
      <c r="C24" s="224">
        <f>SUM(D24:O24)</f>
        <v>315</v>
      </c>
      <c r="D24" s="224">
        <f>D7*10000/财务模型假设!$D$25*财务模型假设!$D$18*(1+ROUNDDOWN(D3/财务模型假设!$E$19,0))/100000000</f>
        <v>0</v>
      </c>
      <c r="E24" s="224">
        <f>E7*10000/财务模型假设!$D$25*财务模型假设!$D$18*(1+ROUNDDOWN(E3/财务模型假设!$E$19,0))/100000000</f>
        <v>0</v>
      </c>
      <c r="F24" s="224">
        <f>F7*10000/财务模型假设!$D$25*财务模型假设!$D$18*(1+ROUNDDOWN(F3/财务模型假设!$E$19,0))/100000000</f>
        <v>0</v>
      </c>
      <c r="G24" s="224">
        <f>G7*10000/财务模型假设!$D$25*财务模型假设!$D$18*(1+ROUNDDOWN(G3/财务模型假设!$E$19,0))/100000000</f>
        <v>0</v>
      </c>
      <c r="H24" s="224">
        <f>H7*10000/财务模型假设!$D$25*财务模型假设!$D$18*(1+ROUNDDOWN(H3/财务模型假设!$E$19,0))/10000</f>
        <v>4.5</v>
      </c>
      <c r="I24" s="224">
        <f>I7*10000/财务模型假设!$D$25*财务模型假设!$D$18*(1+ROUNDDOWN(I3/财务模型假设!$E$19,0))/10000</f>
        <v>4.5</v>
      </c>
      <c r="J24" s="224">
        <f>J7*10000/财务模型假设!$D$25*财务模型假设!$D$18*(1+ROUNDDOWN(J3/财务模型假设!$E$19,0))/10000</f>
        <v>22.5</v>
      </c>
      <c r="K24" s="224">
        <f>K7*10000/财务模型假设!$D$25*财务模型假设!$D$18*(1+ROUNDDOWN(K3/财务模型假设!$E$19,0))/10000</f>
        <v>36</v>
      </c>
      <c r="L24" s="224">
        <f>L7*10000/财务模型假设!$D$25*财务模型假设!$D$18*(1+ROUNDDOWN(L3/财务模型假设!$E$19,0))/10000</f>
        <v>49.5</v>
      </c>
      <c r="M24" s="224">
        <f>M7*10000/财务模型假设!$D$25*财务模型假设!$D$18*(1+ROUNDDOWN(M3/财务模型假设!$E$19,0))/10000</f>
        <v>54</v>
      </c>
      <c r="N24" s="224">
        <f>N7*10000/财务模型假设!$D$25*财务模型假设!$D$18*(1+ROUNDDOWN(N3/财务模型假设!$E$19,0))/10000</f>
        <v>67.5</v>
      </c>
      <c r="O24" s="225">
        <f>O7*10000/财务模型假设!$D$25*财务模型假设!$D$18*(1+ROUNDDOWN(O3/财务模型假设!$E$19,0))/10000</f>
        <v>76.5</v>
      </c>
    </row>
    <row r="25" spans="2:15" ht="15.75" hidden="1" customHeight="1" outlineLevel="1" x14ac:dyDescent="0.3">
      <c r="B25" s="240" t="s">
        <v>68</v>
      </c>
      <c r="C25" s="250">
        <f>C24/C$12</f>
        <v>0.36777526137510091</v>
      </c>
      <c r="D25" s="241">
        <f>IFERROR(D24/D12,0)</f>
        <v>0</v>
      </c>
      <c r="E25" s="241">
        <f t="shared" ref="E25:O25" si="14">IFERROR(E24/E12,0)</f>
        <v>0</v>
      </c>
      <c r="F25" s="241">
        <f t="shared" si="14"/>
        <v>0</v>
      </c>
      <c r="G25" s="241">
        <f t="shared" si="14"/>
        <v>0</v>
      </c>
      <c r="H25" s="241">
        <f t="shared" si="14"/>
        <v>0.38104841971085479</v>
      </c>
      <c r="I25" s="241">
        <f t="shared" si="14"/>
        <v>0.38104841971085479</v>
      </c>
      <c r="J25" s="241">
        <f t="shared" si="14"/>
        <v>0.37165909059565672</v>
      </c>
      <c r="K25" s="241">
        <f t="shared" si="14"/>
        <v>0.36938361577482959</v>
      </c>
      <c r="L25" s="241">
        <f t="shared" si="14"/>
        <v>0.36835849441509599</v>
      </c>
      <c r="M25" s="241">
        <f t="shared" si="14"/>
        <v>0.36565245028451121</v>
      </c>
      <c r="N25" s="241">
        <f t="shared" si="14"/>
        <v>0.36565245028451138</v>
      </c>
      <c r="O25" s="222">
        <f t="shared" si="14"/>
        <v>0.36739885844476305</v>
      </c>
    </row>
    <row r="26" spans="2:15" s="100" customFormat="1" ht="15.75" customHeight="1" collapsed="1" x14ac:dyDescent="0.3">
      <c r="B26" s="236" t="s">
        <v>134</v>
      </c>
      <c r="C26" s="237">
        <f>C12-C14</f>
        <v>524.37130204402479</v>
      </c>
      <c r="D26" s="237">
        <f>D12-D14</f>
        <v>0</v>
      </c>
      <c r="E26" s="237">
        <f t="shared" ref="E26:O26" si="15">E12-E14</f>
        <v>0</v>
      </c>
      <c r="F26" s="237">
        <f t="shared" si="15"/>
        <v>0</v>
      </c>
      <c r="G26" s="237">
        <f t="shared" si="15"/>
        <v>0</v>
      </c>
      <c r="H26" s="237">
        <f t="shared" si="15"/>
        <v>7.0733323427672889</v>
      </c>
      <c r="I26" s="237">
        <f t="shared" si="15"/>
        <v>7.0733323427672889</v>
      </c>
      <c r="J26" s="237">
        <f t="shared" si="15"/>
        <v>36.828563616352135</v>
      </c>
      <c r="K26" s="237">
        <f t="shared" si="15"/>
        <v>59.510462547169745</v>
      </c>
      <c r="L26" s="237">
        <f t="shared" si="15"/>
        <v>82.192361477987333</v>
      </c>
      <c r="M26" s="237">
        <f t="shared" si="15"/>
        <v>90.727595723270497</v>
      </c>
      <c r="N26" s="237">
        <f t="shared" si="15"/>
        <v>113.40949465408804</v>
      </c>
      <c r="O26" s="238">
        <f t="shared" si="15"/>
        <v>127.55615933962254</v>
      </c>
    </row>
    <row r="27" spans="2:15" ht="15.75" customHeight="1" thickBot="1" x14ac:dyDescent="0.35">
      <c r="B27" s="257" t="s">
        <v>57</v>
      </c>
      <c r="C27" s="258">
        <f>C26/C8</f>
        <v>0.13064780642038676</v>
      </c>
      <c r="D27" s="274">
        <f>IFERROR(D26/D8,0)</f>
        <v>0</v>
      </c>
      <c r="E27" s="274">
        <f t="shared" ref="E27:O27" si="16">IFERROR(E26/E8,0)</f>
        <v>0</v>
      </c>
      <c r="F27" s="258">
        <f>IFERROR(F26/F8,0)</f>
        <v>0</v>
      </c>
      <c r="G27" s="258">
        <f t="shared" si="16"/>
        <v>0</v>
      </c>
      <c r="H27" s="258">
        <f t="shared" si="16"/>
        <v>0.12336311040361526</v>
      </c>
      <c r="I27" s="258">
        <f t="shared" si="16"/>
        <v>0.12336311040361526</v>
      </c>
      <c r="J27" s="258">
        <f t="shared" si="16"/>
        <v>0.12846239761535519</v>
      </c>
      <c r="K27" s="258">
        <f t="shared" si="16"/>
        <v>0.12973721941829028</v>
      </c>
      <c r="L27" s="258">
        <f t="shared" si="16"/>
        <v>0.13031668387416984</v>
      </c>
      <c r="M27" s="258">
        <f t="shared" si="16"/>
        <v>0.13186192242318218</v>
      </c>
      <c r="N27" s="258">
        <f t="shared" si="16"/>
        <v>0.13186192242318209</v>
      </c>
      <c r="O27" s="259">
        <f t="shared" si="16"/>
        <v>0.13086206218558594</v>
      </c>
    </row>
    <row r="29" spans="2:15" ht="15.75" customHeight="1" x14ac:dyDescent="0.2">
      <c r="D29" s="249"/>
    </row>
    <row r="30" spans="2:15" ht="15.75" customHeight="1" x14ac:dyDescent="0.2">
      <c r="D30" s="2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zoomScale="90" zoomScaleNormal="90" workbookViewId="0">
      <selection activeCell="F15" sqref="F15"/>
    </sheetView>
  </sheetViews>
  <sheetFormatPr defaultRowHeight="16.5" customHeight="1" x14ac:dyDescent="0.2"/>
  <cols>
    <col min="1" max="1" width="3.125" style="138" customWidth="1"/>
    <col min="2" max="2" width="39" style="138" customWidth="1"/>
    <col min="3" max="3" width="9" style="138" customWidth="1"/>
    <col min="4" max="4" width="9" style="139" customWidth="1"/>
    <col min="5" max="27" width="9" style="138" customWidth="1"/>
    <col min="28" max="28" width="0" style="138" hidden="1" customWidth="1"/>
    <col min="29" max="16384" width="9" style="138"/>
  </cols>
  <sheetData>
    <row r="1" spans="1:28" ht="16.5" customHeight="1" x14ac:dyDescent="0.2">
      <c r="B1" s="244" t="s">
        <v>157</v>
      </c>
    </row>
    <row r="2" spans="1:28" ht="16.5" customHeight="1" thickBot="1" x14ac:dyDescent="0.25">
      <c r="A2" s="143"/>
      <c r="B2" s="143"/>
      <c r="C2" s="143"/>
      <c r="D2" s="145"/>
      <c r="E2" s="143"/>
      <c r="F2" s="143"/>
      <c r="G2" s="143"/>
      <c r="H2" s="143"/>
      <c r="I2" s="143"/>
      <c r="J2" s="143"/>
      <c r="K2" s="143"/>
      <c r="L2" s="143"/>
      <c r="M2" s="143"/>
    </row>
    <row r="3" spans="1:28" s="150" customFormat="1" ht="16.5" customHeight="1" x14ac:dyDescent="0.2">
      <c r="B3" s="346"/>
      <c r="C3" s="347">
        <v>43831</v>
      </c>
      <c r="D3" s="347">
        <v>43862</v>
      </c>
      <c r="E3" s="347">
        <v>43891</v>
      </c>
      <c r="F3" s="347">
        <v>43922</v>
      </c>
      <c r="G3" s="347">
        <v>43952</v>
      </c>
      <c r="H3" s="347">
        <v>43983</v>
      </c>
      <c r="I3" s="347">
        <v>44013</v>
      </c>
      <c r="J3" s="347">
        <v>44044</v>
      </c>
      <c r="K3" s="347">
        <v>44075</v>
      </c>
      <c r="L3" s="347">
        <v>44105</v>
      </c>
      <c r="M3" s="347">
        <v>44136</v>
      </c>
      <c r="N3" s="347">
        <v>44166</v>
      </c>
      <c r="O3" s="347">
        <v>44197</v>
      </c>
      <c r="P3" s="347">
        <v>44228</v>
      </c>
      <c r="Q3" s="347">
        <v>44256</v>
      </c>
      <c r="R3" s="347">
        <v>44287</v>
      </c>
      <c r="S3" s="347">
        <v>44317</v>
      </c>
      <c r="T3" s="347">
        <v>44348</v>
      </c>
      <c r="U3" s="347">
        <v>44378</v>
      </c>
      <c r="V3" s="347">
        <v>44409</v>
      </c>
      <c r="W3" s="347">
        <v>44440</v>
      </c>
      <c r="X3" s="347">
        <v>44470</v>
      </c>
      <c r="Y3" s="347">
        <v>44501</v>
      </c>
      <c r="Z3" s="347">
        <v>44531</v>
      </c>
      <c r="AA3" s="348" t="s">
        <v>113</v>
      </c>
      <c r="AB3" s="188"/>
    </row>
    <row r="4" spans="1:28" s="150" customFormat="1" ht="16.5" customHeight="1" x14ac:dyDescent="0.2">
      <c r="B4" s="252" t="s">
        <v>106</v>
      </c>
      <c r="C4" s="253">
        <f>'P&amp;L-毛利之上部分'!D7*财务模型假设!$C$17</f>
        <v>0</v>
      </c>
      <c r="D4" s="253">
        <f>C4+'P&amp;L-毛利之上部分'!E7*财务模型假设!$C$17</f>
        <v>0</v>
      </c>
      <c r="E4" s="253">
        <f>D4+'P&amp;L-毛利之上部分'!F7*财务模型假设!$C$17</f>
        <v>0</v>
      </c>
      <c r="F4" s="253">
        <f>E4+'P&amp;L-毛利之上部分'!G7*财务模型假设!$C$17</f>
        <v>0</v>
      </c>
      <c r="G4" s="253">
        <f>F4+'P&amp;L-毛利之上部分'!H7*财务模型假设!$C$17</f>
        <v>47.25</v>
      </c>
      <c r="H4" s="253">
        <f>G4+'P&amp;L-毛利之上部分'!I7*财务模型假设!$C$17</f>
        <v>94.5</v>
      </c>
      <c r="I4" s="253">
        <f>H4+'P&amp;L-毛利之上部分'!J7*财务模型假设!$C$17</f>
        <v>330.75</v>
      </c>
      <c r="J4" s="253">
        <f>I4+'P&amp;L-毛利之上部分'!K7*财务模型假设!$C$17</f>
        <v>708.75</v>
      </c>
      <c r="K4" s="253">
        <f>J4+'P&amp;L-毛利之上部分'!L7*财务模型假设!$C$17</f>
        <v>1228.5</v>
      </c>
      <c r="L4" s="253">
        <f>K4+'P&amp;L-毛利之上部分'!M7*财务模型假设!$C$17</f>
        <v>1795.5</v>
      </c>
      <c r="M4" s="253">
        <f>L4+'P&amp;L-毛利之上部分'!N7*财务模型假设!$C$17</f>
        <v>2504.25</v>
      </c>
      <c r="N4" s="253">
        <f>M4+'P&amp;L-毛利之上部分'!O7*财务模型假设!$C$17</f>
        <v>3307.5</v>
      </c>
      <c r="O4" s="253">
        <f>N4+'P&amp;L-毛利之上部分'!P7*财务模型假设!$C$17</f>
        <v>3307.5</v>
      </c>
      <c r="P4" s="253">
        <f>O4+'P&amp;L-毛利之上部分'!Q7*财务模型假设!$C$17</f>
        <v>3307.5</v>
      </c>
      <c r="Q4" s="253">
        <f>P4+'P&amp;L-毛利之上部分'!R7*财务模型假设!$C$17</f>
        <v>3307.5</v>
      </c>
      <c r="R4" s="253">
        <f>Q4+'P&amp;L-毛利之上部分'!S7*财务模型假设!$C$17</f>
        <v>3307.5</v>
      </c>
      <c r="S4" s="253">
        <f>R4+'P&amp;L-毛利之上部分'!T7*财务模型假设!$C$17</f>
        <v>3307.5</v>
      </c>
      <c r="T4" s="253">
        <f>S4+'P&amp;L-毛利之上部分'!U7*财务模型假设!$C$17</f>
        <v>3307.5</v>
      </c>
      <c r="U4" s="253">
        <f>T4+'P&amp;L-毛利之上部分'!V7*财务模型假设!$C$17</f>
        <v>3307.5</v>
      </c>
      <c r="V4" s="253">
        <f>U4+'P&amp;L-毛利之上部分'!W7*财务模型假设!$C$17</f>
        <v>3307.5</v>
      </c>
      <c r="W4" s="253">
        <f>V4+'P&amp;L-毛利之上部分'!X7*财务模型假设!$C$17</f>
        <v>3307.5</v>
      </c>
      <c r="X4" s="253">
        <f>W4+'P&amp;L-毛利之上部分'!Y7*财务模型假设!$C$17</f>
        <v>3307.5</v>
      </c>
      <c r="Y4" s="253">
        <f>X4+'P&amp;L-毛利之上部分'!Z7*财务模型假设!$C$17</f>
        <v>3307.5</v>
      </c>
      <c r="Z4" s="253">
        <f>Y4+'P&amp;L-毛利之上部分'!AA7*财务模型假设!$C$17</f>
        <v>3307.5</v>
      </c>
      <c r="AA4" s="189">
        <f>Z4</f>
        <v>3307.5</v>
      </c>
      <c r="AB4" s="189" t="s">
        <v>145</v>
      </c>
    </row>
    <row r="5" spans="1:28" s="150" customFormat="1" ht="16.5" customHeight="1" x14ac:dyDescent="0.2">
      <c r="B5" s="252" t="s">
        <v>108</v>
      </c>
      <c r="C5" s="253">
        <f>财务模型假设!$E$7*财务模型假设!E17</f>
        <v>0</v>
      </c>
      <c r="D5" s="253">
        <f>财务模型假设!$F$7*财务模型假设!E17+财务模型假设!$E$7*财务模型假设!F17+C5</f>
        <v>0</v>
      </c>
      <c r="E5" s="253">
        <f>财务模型假设!$G$7*财务模型假设!E17+财务模型假设!$F$7*财务模型假设!F17+财务模型假设!$E$7*财务模型假设!G17+D5</f>
        <v>0</v>
      </c>
      <c r="F5" s="253">
        <f>财务模型假设!$H$7*财务模型假设!E17+财务模型假设!$G$7*财务模型假设!F17+财务模型假设!$F$7*财务模型假设!G17+财务模型假设!$E$7*财务模型假设!H17+E5</f>
        <v>0</v>
      </c>
      <c r="G5" s="253">
        <f>财务模型假设!$I$7*财务模型假设!E17+财务模型假设!$H$7*财务模型假设!F17+财务模型假设!$G$7*财务模型假设!G17+财务模型假设!$F$7*财务模型假设!H17+财务模型假设!$E$7*财务模型假设!I17+F5</f>
        <v>2.75</v>
      </c>
      <c r="H5" s="253">
        <f>财务模型假设!$J$7*财务模型假设!E17+财务模型假设!$I$7*财务模型假设!F17+财务模型假设!$H$7*财务模型假设!G17+财务模型假设!$G$7*财务模型假设!H17+财务模型假设!$F$7*财务模型假设!I17+财务模型假设!$E$7*财务模型假设!J17+G5</f>
        <v>8.25</v>
      </c>
      <c r="I5" s="253">
        <f>财务模型假设!$K$7*财务模型假设!E17+财务模型假设!$J$7*财务模型假设!F17+财务模型假设!$I$7*财务模型假设!G17+财务模型假设!$H$7*财务模型假设!H17+财务模型假设!$G$7*财务模型假设!I17+财务模型假设!$F$7*财务模型假设!J17+财务模型假设!$E$7*财务模型假设!K17+H5</f>
        <v>27.5</v>
      </c>
      <c r="J5" s="253">
        <f>财务模型假设!$L$7*财务模型假设!E17+财务模型假设!$K$7*财务模型假设!F17+财务模型假设!$J$7*财务模型假设!G17+财务模型假设!$I$7*财务模型假设!H17+财务模型假设!$H$7*财务模型假设!I17+财务模型假设!$G$7*财务模型假设!J17+财务模型假设!$F$7*财务模型假设!K17+财务模型假设!$E$7*财务模型假设!L17+I5</f>
        <v>68.75</v>
      </c>
      <c r="K5" s="253">
        <f>财务模型假设!$M$7*财务模型假设!E17+财务模型假设!$L$7*财务模型假设!F17+财务模型假设!$K$7*财务模型假设!G17+财务模型假设!$J$7*财务模型假设!H17+财务模型假设!$I$7*财务模型假设!I17+财务模型假设!$H$7*财务模型假设!J17+财务模型假设!$G$7*财务模型假设!K17+财务模型假设!$F$7*财务模型假设!L17+财务模型假设!$E$7*财务模型假设!M17+J5</f>
        <v>140.25</v>
      </c>
      <c r="L5" s="253">
        <f>财务模型假设!$N$7*财务模型假设!E17+财务模型假设!$M$7*财务模型假设!F17+财务模型假设!$L$7*财务模型假设!G17+财务模型假设!$K$7*财务模型假设!H17+财务模型假设!$J$7*财务模型假设!I17+财务模型假设!$I$7*财务模型假设!J17+财务模型假设!$H$7*财务模型假设!K17+财务模型假设!$G$7*财务模型假设!L17+财务模型假设!$F$7*财务模型假设!M17+财务模型假设!$E$7*财务模型假设!N17+K5</f>
        <v>244.75</v>
      </c>
      <c r="M5" s="253">
        <f>财务模型假设!$O$7*财务模型假设!E17+财务模型假设!$N$7*财务模型假设!F17+财务模型假设!$M$7*财务模型假设!G17+财务模型假设!$L$7*财务模型假设!H17+财务模型假设!$K$7*财务模型假设!I17+财务模型假设!$J$7*财务模型假设!J17+财务模型假设!$I$7*财务模型假设!K17+财务模型假设!$H$7*财务模型假设!L17+财务模型假设!$G$7*财务模型假设!M17+财务模型假设!$F$7*财务模型假设!N17+财务模型假设!$E$7*财务模型假设!O17+L5</f>
        <v>390.5</v>
      </c>
      <c r="N5" s="253">
        <f>财务模型假设!$P$7*财务模型假设!E17+财务模型假设!$O$7*财务模型假设!F17+财务模型假设!$N$7*财务模型假设!G17+财务模型假设!$M$7*财务模型假设!H17+财务模型假设!$L$7*财务模型假设!I17+财务模型假设!$K$7*财务模型假设!J17+财务模型假设!$J$7*财务模型假设!K17+财务模型假设!$I$7*财务模型假设!L17+财务模型假设!$H$7*财务模型假设!M17+财务模型假设!$G$7*财务模型假设!N17+财务模型假设!$F$7*财务模型假设!O17+财务模型假设!$E$7*财务模型假设!P17+M5</f>
        <v>583</v>
      </c>
      <c r="O5" s="253">
        <f>财务模型假设!$P$7*财务模型假设!F17+财务模型假设!$O$7*财务模型假设!G17+财务模型假设!$N$7*财务模型假设!H17+财务模型假设!$M$7*财务模型假设!I17+财务模型假设!$L$7*财务模型假设!J17+财务模型假设!$K$7*财务模型假设!K17+财务模型假设!$J$7*财务模型假设!L17+财务模型假设!$I$7*财务模型假设!M17+财务模型假设!$H$7*财务模型假设!N17+财务模型假设!$G$7*财务模型假设!O17+财务模型假设!$F$7*财务模型假设!P17+财务模型假设!$E$7*财务模型假设!Q17+N5</f>
        <v>775.5</v>
      </c>
      <c r="P5" s="253">
        <f>财务模型假设!$P$7*财务模型假设!G17+财务模型假设!$O$7*财务模型假设!H17+财务模型假设!$N$7*财务模型假设!I17+财务模型假设!$M$7*财务模型假设!J17+财务模型假设!$L$7*财务模型假设!K17+财务模型假设!$K$7*财务模型假设!L17+财务模型假设!$J$7*财务模型假设!M17+财务模型假设!$I$7*财务模型假设!N17+财务模型假设!$H$7*财务模型假设!O17+财务模型假设!$G$7*财务模型假设!P17+财务模型假设!$F$7*财务模型假设!Q17+财务模型假设!$E$7*财务模型假设!R17+O5</f>
        <v>968</v>
      </c>
      <c r="Q5" s="253">
        <f>财务模型假设!$P$7*财务模型假设!H17+财务模型假设!$O$7*财务模型假设!I17+财务模型假设!$N$7*财务模型假设!J17+财务模型假设!$M$7*财务模型假设!K17+财务模型假设!$L$7*财务模型假设!L17+财务模型假设!$K$7*财务模型假设!M17+财务模型假设!$J$7*财务模型假设!N17+财务模型假设!$I$7*财务模型假设!O17+财务模型假设!$H$7*财务模型假设!P17+财务模型假设!$G$7*财务模型假设!Q17+财务模型假设!$F$7*财务模型假设!R17+财务模型假设!$E$7*财务模型假设!S17+P5</f>
        <v>1160.5</v>
      </c>
      <c r="R5" s="253">
        <f>财务模型假设!$P$7*财务模型假设!I17+财务模型假设!$O$7*财务模型假设!J17+财务模型假设!$N$7*财务模型假设!K17+财务模型假设!$M$7*财务模型假设!L17+财务模型假设!$L$7*财务模型假设!M17+财务模型假设!$K$7*财务模型假设!N17+财务模型假设!$J$7*财务模型假设!O17+财务模型假设!$I$7*财务模型假设!P17+财务模型假设!$H$7*财务模型假设!Q17+财务模型假设!$G$7*财务模型假设!R17+财务模型假设!$F$7*财务模型假设!S17+财务模型假设!$E$7*财务模型假设!T17+Q5</f>
        <v>1353.7</v>
      </c>
      <c r="S5" s="253">
        <f>财务模型假设!$P$7*财务模型假设!J17+财务模型假设!$O$7*财务模型假设!K17+财务模型假设!$N$7*财务模型假设!L17+财务模型假设!$M$7*财务模型假设!M17+财务模型假设!$L$7*财务模型假设!N17+财务模型假设!$K$7*财务模型假设!O17+财务模型假设!$J$7*财务模型假设!P17+财务模型假设!$I$7*财务模型假设!Q17+财务模型假设!$H$7*财务模型假设!R17+财务模型假设!$G$7*财务模型假设!S17+财务模型假设!$F$7*财务模型假设!T17+财务模型假设!$E$7*财务模型假设!U17+R5</f>
        <v>1544.15</v>
      </c>
      <c r="T5" s="253">
        <f>财务模型假设!$P$7*财务模型假设!K17+财务模型假设!$O$7*财务模型假设!L17+财务模型假设!$N$7*财务模型假设!M17+财务模型假设!$M$7*财务模型假设!N17+财务模型假设!$L$7*财务模型假设!O17+财务模型假设!$K$7*财务模型假设!P17+财务模型假设!$J$7*财务模型假设!Q17+财务模型假设!$I$7*财务模型假设!R17+财务模型假设!$H$7*财务模型假设!S17+财务模型假设!$G$7*财务模型假设!T17+财务模型假设!$F$7*财务模型假设!U17+财务模型假设!$E$7*财务模型假设!V17+S5</f>
        <v>1734.65</v>
      </c>
      <c r="U5" s="253">
        <f>财务模型假设!$P$7*财务模型假设!L17+财务模型假设!$O$7*财务模型假设!M17+财务模型假设!$N$7*财务模型假设!N17+财务模型假设!$M$7*财务模型假设!O17+财务模型假设!$L$7*财务模型假设!P17+财务模型假设!$K$7*财务模型假设!Q17+财务模型假设!$J$7*财务模型假设!R17+财务模型假设!$I$7*财务模型假设!S17+财务模型假设!$H$7*财务模型假设!T17+财务模型假设!$G$7*财务模型假设!U17+财务模型假设!$F$7*财务模型假设!V17+财务模型假设!$E$7*财务模型假设!W17+T5</f>
        <v>1913.5000000000002</v>
      </c>
      <c r="V5" s="253">
        <f>财务模型假设!$P$7*财务模型假设!M17+财务模型假设!$O$7*财务模型假设!N17+财务模型假设!$N$7*财务模型假设!O17+财务模型假设!$M$7*财务模型假设!P17+财务模型假设!$L$7*财务模型假设!Q17+财务模型假设!$K$7*财务模型假设!R17+财务模型假设!$J$7*财务模型假设!S17+财务模型假设!$I$7*财务模型假设!T17+财务模型假设!$H$7*财务模型假设!U17+财务模型假设!$G$7*财务模型假设!V17+财务模型假设!$F$7*财务模型假设!W17+财务模型假设!$E$7*财务模型假设!X17+U5</f>
        <v>2072.4500000000003</v>
      </c>
      <c r="W5" s="253">
        <f>财务模型假设!$P$7*财务模型假设!N17+财务模型假设!$O$7*财务模型假设!O17+财务模型假设!$N$7*财务模型假设!P17+财务模型假设!$M$7*财务模型假设!Q17+财务模型假设!$L$7*财务模型假设!R17+财务模型假设!$K$7*财务模型假设!S17+财务模型假设!$J$7*财务模型假设!T17+财务模型假设!$I$7*财务模型假设!U17+财务模型假设!$H$7*财务模型假设!V17+财务模型假设!$G$7*财务模型假设!W17+财务模型假设!$F$7*财务模型假设!X17+财务模型假设!$E$7*财务模型假设!Y17+V5</f>
        <v>2201.8500000000004</v>
      </c>
      <c r="X5" s="253">
        <f>财务模型假设!$P$7*财务模型假设!O17+财务模型假设!$O$7*财务模型假设!P17+财务模型假设!$N$7*财务模型假设!Q17+财务模型假设!$M$7*财务模型假设!R17+财务模型假设!$L$7*财务模型假设!S17+财务模型假设!$K$7*财务模型假设!T17+财务模型假设!$J$7*财务模型假设!U17+财务模型假设!$I$7*财务模型假设!V17+财务模型假设!$H$7*财务模型假设!W17+财务模型假设!$G$7*财务模型假设!X17+财务模型假设!$F$7*财务模型假设!Y17+财务模型假设!$E$7*财务模型假设!Z17+W5</f>
        <v>2300.3500000000004</v>
      </c>
      <c r="Y5" s="253">
        <f>财务模型假设!$P$7*财务模型假设!P17+财务模型假设!$O$7*财务模型假设!Q17+财务模型假设!$N$7*财务模型假设!R17+财务模型假设!$M$7*财务模型假设!S17+财务模型假设!$L$7*财务模型假设!T17+财务模型假设!$K$7*财务模型假设!U17+财务模型假设!$J$7*财务模型假设!V17+财务模型假设!$I$7*财务模型假设!W17+财务模型假设!$H$7*财务模型假设!X17+财务模型假设!$G$7*财务模型假设!Y17+财务模型假设!$F$7*财务模型假设!Z17+财务模型假设!$E$7*财务模型假设!AA17+X5</f>
        <v>2359.0000000000005</v>
      </c>
      <c r="Z5" s="253">
        <f>财务模型假设!$P$7*财务模型假设!Q17+财务模型假设!$O$7*财务模型假设!R17+财务模型假设!$N$7*财务模型假设!S17+财务模型假设!$M$7*财务模型假设!T17+财务模型假设!$L$7*财务模型假设!U17+财务模型假设!$K$7*财务模型假设!V17+财务模型假设!$J$7*财务模型假设!W17+财务模型假设!$I$7*财务模型假设!X17+财务模型假设!$H$7*财务模型假设!Y17+财务模型假设!$G$7*财务模型假设!Z17+财务模型假设!$F$7*财务模型假设!AA17+财务模型假设!$E$7*财务模型假设!AB17+Y5</f>
        <v>2359.0000000000005</v>
      </c>
      <c r="AA5" s="189">
        <f>财务模型假设!$P$7*财务模型假设!R17+财务模型假设!$O$7*财务模型假设!S17+财务模型假设!$N$7*财务模型假设!T17+财务模型假设!$M$7*财务模型假设!U17+财务模型假设!$L$7*财务模型假设!V17+财务模型假设!$K$7*财务模型假设!W17+财务模型假设!$J$7*财务模型假设!X17+财务模型假设!$I$7*财务模型假设!Y17+财务模型假设!$H$7*财务模型假设!Z17+财务模型假设!$G$7*财务模型假设!AA17+财务模型假设!$F$7*财务模型假设!AB17+财务模型假设!$E$7*财务模型假设!AC17+Z5</f>
        <v>2359.0000000000005</v>
      </c>
      <c r="AB5" s="253">
        <f>财务模型假设!$P$7*财务模型假设!R17+财务模型假设!$O$7*财务模型假设!S17+财务模型假设!$N$7*财务模型假设!T17+财务模型假设!$M$7*财务模型假设!U17+财务模型假设!$L$7*财务模型假设!V17+财务模型假设!$K$7*财务模型假设!W17+财务模型假设!$J$7*财务模型假设!X17+财务模型假设!$I$7*财务模型假设!Y17+财务模型假设!$H$7*财务模型假设!Z17+财务模型假设!$G$7*财务模型假设!AA17+财务模型假设!$F$7*财务模型假设!AB17+财务模型假设!$E$7*财务模型假设!AC17+AA5</f>
        <v>2359.0000000000005</v>
      </c>
    </row>
    <row r="6" spans="1:28" s="150" customFormat="1" ht="16.5" customHeight="1" x14ac:dyDescent="0.2">
      <c r="B6" s="252" t="s">
        <v>144</v>
      </c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>
        <f>财务模型假设!E7*财务模型假设!$D$17</f>
        <v>0</v>
      </c>
      <c r="P6" s="253">
        <f>财务模型假设!F7*财务模型假设!$D$17+O6</f>
        <v>0</v>
      </c>
      <c r="Q6" s="253">
        <f>财务模型假设!G7*财务模型假设!$D$17+P6</f>
        <v>0</v>
      </c>
      <c r="R6" s="253">
        <f>财务模型假设!H7*财务模型假设!$D$17+Q6</f>
        <v>0</v>
      </c>
      <c r="S6" s="253">
        <f>财务模型假设!I7*财务模型假设!$D$17+R6</f>
        <v>13.549999999999999</v>
      </c>
      <c r="T6" s="253">
        <f>财务模型假设!J7*财务模型假设!$D$17+S6</f>
        <v>27.099999999999998</v>
      </c>
      <c r="U6" s="253">
        <f>财务模型假设!K7*财务模型假设!$D$17+T6</f>
        <v>94.85</v>
      </c>
      <c r="V6" s="253">
        <f>财务模型假设!L7*财务模型假设!$D$17+U6</f>
        <v>203.25</v>
      </c>
      <c r="W6" s="253">
        <f>财务模型假设!M7*财务模型假设!$D$17+V6</f>
        <v>352.29999999999995</v>
      </c>
      <c r="X6" s="253">
        <f>财务模型假设!N7*财务模型假设!$D$17+W6</f>
        <v>514.9</v>
      </c>
      <c r="Y6" s="253">
        <f>财务模型假设!O7*财务模型假设!$D$17+X6</f>
        <v>718.15</v>
      </c>
      <c r="Z6" s="253">
        <f>财务模型假设!P7*财务模型假设!$D$17+Y6</f>
        <v>948.5</v>
      </c>
      <c r="AA6" s="189">
        <f>Z6</f>
        <v>948.5</v>
      </c>
      <c r="AB6" s="189" t="s">
        <v>146</v>
      </c>
    </row>
    <row r="7" spans="1:28" s="150" customFormat="1" ht="16.5" customHeight="1" x14ac:dyDescent="0.2">
      <c r="B7" s="252" t="s">
        <v>154</v>
      </c>
      <c r="C7" s="254">
        <f>C4-C5-C6</f>
        <v>0</v>
      </c>
      <c r="D7" s="254">
        <f t="shared" ref="D7:Y7" si="0">D4-D5-D6</f>
        <v>0</v>
      </c>
      <c r="E7" s="254">
        <f t="shared" si="0"/>
        <v>0</v>
      </c>
      <c r="F7" s="254">
        <f>F4-F5-F6</f>
        <v>0</v>
      </c>
      <c r="G7" s="254">
        <f>G4-G5-G6</f>
        <v>44.5</v>
      </c>
      <c r="H7" s="254">
        <f t="shared" si="0"/>
        <v>86.25</v>
      </c>
      <c r="I7" s="254">
        <f t="shared" si="0"/>
        <v>303.25</v>
      </c>
      <c r="J7" s="254">
        <f t="shared" si="0"/>
        <v>640</v>
      </c>
      <c r="K7" s="254">
        <f t="shared" si="0"/>
        <v>1088.25</v>
      </c>
      <c r="L7" s="254">
        <f t="shared" si="0"/>
        <v>1550.75</v>
      </c>
      <c r="M7" s="254">
        <f t="shared" si="0"/>
        <v>2113.75</v>
      </c>
      <c r="N7" s="254">
        <f t="shared" si="0"/>
        <v>2724.5</v>
      </c>
      <c r="O7" s="254">
        <f t="shared" si="0"/>
        <v>2532</v>
      </c>
      <c r="P7" s="254">
        <f t="shared" si="0"/>
        <v>2339.5</v>
      </c>
      <c r="Q7" s="254">
        <f t="shared" si="0"/>
        <v>2147</v>
      </c>
      <c r="R7" s="254">
        <f t="shared" si="0"/>
        <v>1953.8</v>
      </c>
      <c r="S7" s="254">
        <f>S4-S5-S6</f>
        <v>1749.8</v>
      </c>
      <c r="T7" s="254">
        <f t="shared" si="0"/>
        <v>1545.75</v>
      </c>
      <c r="U7" s="254">
        <f t="shared" si="0"/>
        <v>1299.1499999999999</v>
      </c>
      <c r="V7" s="254">
        <f t="shared" si="0"/>
        <v>1031.7999999999997</v>
      </c>
      <c r="W7" s="254">
        <f t="shared" si="0"/>
        <v>753.34999999999968</v>
      </c>
      <c r="X7" s="254">
        <f t="shared" si="0"/>
        <v>492.24999999999966</v>
      </c>
      <c r="Y7" s="254">
        <f t="shared" si="0"/>
        <v>230.34999999999957</v>
      </c>
      <c r="Z7" s="254">
        <f>Z4-Z5-Z6</f>
        <v>0</v>
      </c>
      <c r="AA7" s="189">
        <f>AVERAGE(E7:Z7)</f>
        <v>1119.3636363636363</v>
      </c>
      <c r="AB7" s="189" t="s">
        <v>148</v>
      </c>
    </row>
    <row r="8" spans="1:28" ht="16.5" customHeight="1" thickBot="1" x14ac:dyDescent="0.25">
      <c r="B8" s="170" t="s">
        <v>203</v>
      </c>
      <c r="C8" s="164">
        <f>C7*财务模型假设!$D$13/12</f>
        <v>0</v>
      </c>
      <c r="D8" s="164">
        <f>(C7+D7)/2*财务模型假设!$D$13/12</f>
        <v>0</v>
      </c>
      <c r="E8" s="164">
        <f>(D7+E7)/2*财务模型假设!$D$13/12</f>
        <v>0</v>
      </c>
      <c r="F8" s="164">
        <f>(E7+F7)/2*财务模型假设!$D$13/12</f>
        <v>0</v>
      </c>
      <c r="G8" s="164">
        <f>(F7+G7)/2*财务模型假设!$D$13/12</f>
        <v>0.17614583333333333</v>
      </c>
      <c r="H8" s="164">
        <f>(G7+H7)/2*财务模型假设!$D$13/12</f>
        <v>0.51755208333333336</v>
      </c>
      <c r="I8" s="164">
        <f>(H7+I7)/2*财务模型假设!$D$13/12</f>
        <v>1.5417708333333333</v>
      </c>
      <c r="J8" s="164">
        <f>(I7+J7)/2*财务模型假设!$D$13/12</f>
        <v>3.7336979166666668</v>
      </c>
      <c r="K8" s="164">
        <f>(J7+K7)/2*财务模型假设!$D$13/12</f>
        <v>6.8409895833333332</v>
      </c>
      <c r="L8" s="164">
        <f>(K7+L7)/2*财务模型假设!$D$13/12</f>
        <v>10.446041666666668</v>
      </c>
      <c r="M8" s="164">
        <f>(L7+M7)/2*财务模型假设!$D$13/12</f>
        <v>14.5053125</v>
      </c>
      <c r="N8" s="164">
        <f>(M7+N7)/2*财务模型假设!$D$13/12</f>
        <v>19.151406250000001</v>
      </c>
      <c r="O8" s="164">
        <f>(N7+O7)/2*财务模型假设!$D$13/12</f>
        <v>20.806979166666668</v>
      </c>
      <c r="P8" s="164">
        <f>(O7+P7)/2*财务模型假设!$D$13/12</f>
        <v>19.283020833333335</v>
      </c>
      <c r="Q8" s="164">
        <f>(P7+Q7)/2*财务模型假设!$D$13/12</f>
        <v>17.759062500000002</v>
      </c>
      <c r="R8" s="164">
        <f>(Q7+R7)/2*财务模型假设!$D$13/12</f>
        <v>16.232333333333333</v>
      </c>
      <c r="S8" s="164">
        <f>(R7+S7)/2*财务模型假设!$D$13/12</f>
        <v>14.660083333333333</v>
      </c>
      <c r="T8" s="164">
        <f>(S7+T7)/2*财务模型假设!$D$13/12</f>
        <v>13.044885416666668</v>
      </c>
      <c r="U8" s="164">
        <f>(T7+U7)/2*财务模型假设!$D$13/12</f>
        <v>11.2610625</v>
      </c>
      <c r="V8" s="164">
        <f>(U7+V7)/2*财务模型假设!$D$13/12</f>
        <v>9.2266770833333336</v>
      </c>
      <c r="W8" s="164">
        <f>(V7+W7)/2*财务模型假设!$D$13/12</f>
        <v>7.0662187499999973</v>
      </c>
      <c r="X8" s="164">
        <f>(W7+X7)/2*财务模型假设!$D$13/12</f>
        <v>4.9304999999999977</v>
      </c>
      <c r="Y8" s="164">
        <f>(X7+Y7)/2*财务模型假设!$D$13/12</f>
        <v>2.8602916666666633</v>
      </c>
      <c r="Z8" s="164">
        <f>(Y7+Z7)/2*财务模型假设!$D$13/12</f>
        <v>0.91180208333333157</v>
      </c>
      <c r="AA8" s="214">
        <f>SUM(C8:Z8)</f>
        <v>194.95583333333332</v>
      </c>
      <c r="AB8" s="214" t="s">
        <v>147</v>
      </c>
    </row>
    <row r="9" spans="1:28" ht="16.5" customHeight="1" thickBot="1" x14ac:dyDescent="0.25"/>
    <row r="10" spans="1:28" ht="16.5" customHeight="1" x14ac:dyDescent="0.2">
      <c r="B10" s="349" t="s">
        <v>100</v>
      </c>
      <c r="C10" s="350" t="s">
        <v>103</v>
      </c>
    </row>
    <row r="11" spans="1:28" ht="16.5" customHeight="1" x14ac:dyDescent="0.2">
      <c r="B11" s="255" t="s">
        <v>204</v>
      </c>
      <c r="C11" s="419">
        <f>E7</f>
        <v>0</v>
      </c>
    </row>
    <row r="12" spans="1:28" ht="16.5" customHeight="1" x14ac:dyDescent="0.2">
      <c r="B12" s="255" t="s">
        <v>149</v>
      </c>
      <c r="C12" s="420">
        <f>AA4</f>
        <v>3307.5</v>
      </c>
    </row>
    <row r="13" spans="1:28" ht="16.5" customHeight="1" x14ac:dyDescent="0.2">
      <c r="B13" s="255" t="s">
        <v>150</v>
      </c>
      <c r="C13" s="420">
        <f>AVERAGE(C7:Z7)</f>
        <v>1026.0833333333333</v>
      </c>
    </row>
    <row r="14" spans="1:28" ht="16.5" customHeight="1" x14ac:dyDescent="0.2">
      <c r="B14" s="255" t="s">
        <v>151</v>
      </c>
      <c r="C14" s="420">
        <f>MAX(C7:Z7)</f>
        <v>2724.5</v>
      </c>
    </row>
    <row r="15" spans="1:28" ht="16.5" customHeight="1" x14ac:dyDescent="0.2">
      <c r="B15" s="255" t="s">
        <v>152</v>
      </c>
      <c r="C15" s="420">
        <f>AA6</f>
        <v>948.5</v>
      </c>
    </row>
    <row r="16" spans="1:28" ht="16.5" customHeight="1" thickBot="1" x14ac:dyDescent="0.25">
      <c r="B16" s="256" t="s">
        <v>153</v>
      </c>
      <c r="C16" s="421">
        <f>AA8</f>
        <v>194.95583333333332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9" sqref="E19"/>
    </sheetView>
  </sheetViews>
  <sheetFormatPr defaultColWidth="11" defaultRowHeight="14.25" x14ac:dyDescent="0.2"/>
  <cols>
    <col min="1" max="1" width="41.125" style="413" customWidth="1"/>
    <col min="2" max="16384" width="11" style="413"/>
  </cols>
  <sheetData>
    <row r="1" spans="1:5" x14ac:dyDescent="0.2">
      <c r="A1" s="410"/>
      <c r="B1" s="416" t="s">
        <v>189</v>
      </c>
      <c r="C1" s="416" t="s">
        <v>190</v>
      </c>
      <c r="D1" s="416" t="s">
        <v>184</v>
      </c>
      <c r="E1" s="414" t="s">
        <v>195</v>
      </c>
    </row>
    <row r="2" spans="1:5" x14ac:dyDescent="0.2">
      <c r="A2" s="416" t="s">
        <v>185</v>
      </c>
      <c r="B2" s="422">
        <v>2000</v>
      </c>
      <c r="C2" s="422">
        <v>2000</v>
      </c>
      <c r="D2" s="422">
        <v>2000</v>
      </c>
      <c r="E2" s="415">
        <f>SUM(B2:D2)</f>
        <v>6000</v>
      </c>
    </row>
    <row r="3" spans="1:5" x14ac:dyDescent="0.2">
      <c r="A3" s="416" t="s">
        <v>191</v>
      </c>
      <c r="B3" s="423">
        <f>B2*0.021*0.85</f>
        <v>35.699999999999996</v>
      </c>
      <c r="C3" s="423">
        <f>C2*0.021*0.85</f>
        <v>35.699999999999996</v>
      </c>
      <c r="D3" s="423">
        <f>D2*0.021*0.85</f>
        <v>35.699999999999996</v>
      </c>
      <c r="E3" s="415">
        <f>SUM(B3:D3)</f>
        <v>107.1</v>
      </c>
    </row>
    <row r="4" spans="1:5" x14ac:dyDescent="0.2">
      <c r="A4" s="416" t="s">
        <v>192</v>
      </c>
      <c r="B4" s="411">
        <f>B3*0.8496*0.4</f>
        <v>12.132287999999999</v>
      </c>
      <c r="C4" s="411">
        <f>C3*0.95</f>
        <v>33.914999999999992</v>
      </c>
      <c r="D4" s="411">
        <f>D3</f>
        <v>35.699999999999996</v>
      </c>
      <c r="E4" s="415">
        <f>SUM(B4:D4)</f>
        <v>81.747287999999998</v>
      </c>
    </row>
    <row r="5" spans="1:5" x14ac:dyDescent="0.2">
      <c r="A5" s="416" t="s">
        <v>193</v>
      </c>
      <c r="B5" s="412">
        <v>0.8</v>
      </c>
      <c r="C5" s="412">
        <v>0.8</v>
      </c>
      <c r="D5" s="412">
        <v>0.8</v>
      </c>
      <c r="E5" s="415"/>
    </row>
    <row r="6" spans="1:5" x14ac:dyDescent="0.2">
      <c r="A6" s="416" t="s">
        <v>186</v>
      </c>
      <c r="B6" s="411">
        <f>B5*B4</f>
        <v>9.7058304</v>
      </c>
      <c r="C6" s="411">
        <f t="shared" ref="C6:D6" si="0">C5*C4</f>
        <v>27.131999999999994</v>
      </c>
      <c r="D6" s="411">
        <f t="shared" si="0"/>
        <v>28.56</v>
      </c>
      <c r="E6" s="415">
        <f>SUM(B6:D6)</f>
        <v>65.397830399999989</v>
      </c>
    </row>
    <row r="7" spans="1:5" x14ac:dyDescent="0.2">
      <c r="A7" s="416" t="s">
        <v>187</v>
      </c>
      <c r="B7" s="412">
        <v>0.4</v>
      </c>
      <c r="C7" s="412">
        <v>0.35</v>
      </c>
      <c r="D7" s="412">
        <v>0.35</v>
      </c>
      <c r="E7" s="414"/>
    </row>
    <row r="8" spans="1:5" x14ac:dyDescent="0.2">
      <c r="A8" s="416" t="s">
        <v>188</v>
      </c>
      <c r="B8" s="418">
        <v>0.9</v>
      </c>
      <c r="C8" s="418">
        <v>0.9</v>
      </c>
      <c r="D8" s="418">
        <v>0.9</v>
      </c>
      <c r="E8" s="414"/>
    </row>
    <row r="9" spans="1:5" x14ac:dyDescent="0.2">
      <c r="A9" s="416" t="s">
        <v>194</v>
      </c>
      <c r="B9" s="417">
        <f>B6*B7*B8</f>
        <v>3.4940989440000001</v>
      </c>
      <c r="C9" s="417">
        <f>C6*C7*C8</f>
        <v>8.5465799999999987</v>
      </c>
      <c r="D9" s="417">
        <f t="shared" ref="D9" si="1">D6*D7*D8</f>
        <v>8.9963999999999995</v>
      </c>
      <c r="E9" s="415">
        <f>SUM(B9:D9)</f>
        <v>21.037078944000001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43"/>
  <sheetViews>
    <sheetView workbookViewId="0">
      <selection activeCell="G10" sqref="G10"/>
    </sheetView>
  </sheetViews>
  <sheetFormatPr defaultColWidth="8.75" defaultRowHeight="14.25" x14ac:dyDescent="0.2"/>
  <cols>
    <col min="1" max="1" width="1.75" style="59" customWidth="1"/>
    <col min="2" max="2" width="18.125" style="59" customWidth="1"/>
    <col min="3" max="7" width="10.5" style="59" customWidth="1"/>
    <col min="8" max="12" width="8.5" style="59" customWidth="1"/>
    <col min="13" max="13" width="9" style="59" customWidth="1"/>
    <col min="14" max="16384" width="8.75" style="59"/>
  </cols>
  <sheetData>
    <row r="1" spans="2:16" ht="7.5" customHeight="1" thickBot="1" x14ac:dyDescent="0.25"/>
    <row r="2" spans="2:16" s="2" customFormat="1" x14ac:dyDescent="0.2">
      <c r="B2" s="74" t="s">
        <v>0</v>
      </c>
      <c r="C2" s="74" t="s">
        <v>1</v>
      </c>
      <c r="D2" s="74" t="s">
        <v>2</v>
      </c>
      <c r="E2" s="74" t="s">
        <v>3</v>
      </c>
      <c r="F2" s="74" t="s">
        <v>4</v>
      </c>
      <c r="G2" s="1"/>
    </row>
    <row r="3" spans="2:16" s="2" customFormat="1" x14ac:dyDescent="0.2">
      <c r="B3" s="60" t="s">
        <v>5</v>
      </c>
      <c r="C3" s="61">
        <v>2278</v>
      </c>
      <c r="D3" s="61">
        <v>2380</v>
      </c>
      <c r="E3" s="62">
        <v>5000</v>
      </c>
      <c r="F3" s="63"/>
      <c r="G3" s="1"/>
    </row>
    <row r="4" spans="2:16" s="2" customFormat="1" x14ac:dyDescent="0.2">
      <c r="B4" s="60" t="s">
        <v>6</v>
      </c>
      <c r="C4" s="64">
        <v>2.4E-2</v>
      </c>
      <c r="D4" s="64">
        <v>2.7E-2</v>
      </c>
      <c r="E4" s="65">
        <f>AVERAGE(C4:D4)</f>
        <v>2.5500000000000002E-2</v>
      </c>
      <c r="F4" s="66" t="s">
        <v>7</v>
      </c>
      <c r="G4" s="1"/>
    </row>
    <row r="5" spans="2:16" s="2" customFormat="1" x14ac:dyDescent="0.2">
      <c r="B5" s="60" t="s">
        <v>8</v>
      </c>
      <c r="C5" s="67">
        <v>55.37</v>
      </c>
      <c r="D5" s="67">
        <v>64.040000000000006</v>
      </c>
      <c r="E5" s="68">
        <f>E3*E4</f>
        <v>127.50000000000001</v>
      </c>
      <c r="F5" s="63"/>
      <c r="G5" s="1"/>
    </row>
    <row r="6" spans="2:16" s="2" customFormat="1" x14ac:dyDescent="0.2">
      <c r="B6" s="69" t="s">
        <v>9</v>
      </c>
      <c r="C6" s="70">
        <v>29.87</v>
      </c>
      <c r="D6" s="70">
        <v>30.68</v>
      </c>
      <c r="E6" s="71">
        <v>61.41</v>
      </c>
      <c r="F6" s="72"/>
      <c r="G6" s="1"/>
      <c r="P6" s="2" t="s">
        <v>48</v>
      </c>
    </row>
    <row r="7" spans="2:16" s="2" customFormat="1" ht="28.5" x14ac:dyDescent="0.2">
      <c r="B7" s="60" t="s">
        <v>10</v>
      </c>
      <c r="C7" s="73">
        <v>1.85</v>
      </c>
      <c r="D7" s="73">
        <v>2.09</v>
      </c>
      <c r="E7" s="73">
        <f>D7</f>
        <v>2.09</v>
      </c>
      <c r="F7" s="66" t="s">
        <v>49</v>
      </c>
      <c r="G7" s="1"/>
    </row>
    <row r="8" spans="2:16" s="2" customFormat="1" ht="28.5" x14ac:dyDescent="0.2">
      <c r="B8" s="60" t="s">
        <v>12</v>
      </c>
      <c r="C8" s="64">
        <v>6.3E-2</v>
      </c>
      <c r="D8" s="64">
        <v>0.08</v>
      </c>
      <c r="E8" s="64">
        <v>0.08</v>
      </c>
      <c r="F8" s="66" t="s">
        <v>11</v>
      </c>
      <c r="G8" s="1"/>
    </row>
    <row r="9" spans="2:16" s="2" customFormat="1" ht="15" thickBot="1" x14ac:dyDescent="0.25">
      <c r="B9" s="75" t="s">
        <v>13</v>
      </c>
      <c r="C9" s="76">
        <v>1.88</v>
      </c>
      <c r="D9" s="76">
        <v>4.33</v>
      </c>
      <c r="E9" s="76">
        <v>9.23</v>
      </c>
      <c r="F9" s="77"/>
      <c r="G9" s="1"/>
    </row>
    <row r="10" spans="2:16" s="2" customFormat="1" ht="12.75" thickBot="1" x14ac:dyDescent="0.25">
      <c r="B10" s="1"/>
      <c r="C10" s="1"/>
      <c r="D10" s="1"/>
      <c r="E10" s="1"/>
      <c r="F10" s="1"/>
      <c r="G10" s="57"/>
    </row>
    <row r="11" spans="2:16" s="2" customFormat="1" x14ac:dyDescent="0.3">
      <c r="B11" s="3" t="s">
        <v>14</v>
      </c>
      <c r="C11" s="4"/>
      <c r="D11" s="4"/>
      <c r="E11" s="5">
        <f>E5</f>
        <v>127.50000000000001</v>
      </c>
      <c r="F11" s="4"/>
      <c r="G11" s="4"/>
    </row>
    <row r="12" spans="2:16" s="2" customFormat="1" x14ac:dyDescent="0.3">
      <c r="B12" s="6" t="s">
        <v>15</v>
      </c>
      <c r="C12" s="1"/>
      <c r="D12" s="1"/>
      <c r="E12" s="7">
        <v>0.5</v>
      </c>
      <c r="F12" s="1"/>
      <c r="G12" s="1"/>
    </row>
    <row r="13" spans="2:16" s="2" customFormat="1" x14ac:dyDescent="0.3">
      <c r="B13" s="6" t="s">
        <v>16</v>
      </c>
      <c r="C13" s="1"/>
      <c r="D13" s="1"/>
      <c r="E13" s="7">
        <v>0.15</v>
      </c>
      <c r="F13" s="1"/>
    </row>
    <row r="14" spans="2:16" s="2" customFormat="1" ht="15" thickBot="1" x14ac:dyDescent="0.35">
      <c r="B14" s="6" t="s">
        <v>17</v>
      </c>
      <c r="C14" s="1"/>
      <c r="D14" s="1"/>
      <c r="E14" s="37">
        <v>25</v>
      </c>
      <c r="F14" s="1"/>
    </row>
    <row r="15" spans="2:16" s="2" customFormat="1" x14ac:dyDescent="0.2">
      <c r="B15" s="8" t="s">
        <v>18</v>
      </c>
      <c r="C15" s="9">
        <v>3</v>
      </c>
      <c r="D15" s="10">
        <v>6</v>
      </c>
      <c r="E15" s="10">
        <v>9</v>
      </c>
      <c r="F15" s="10">
        <v>12</v>
      </c>
      <c r="G15" s="11" t="s">
        <v>19</v>
      </c>
    </row>
    <row r="16" spans="2:16" s="2" customFormat="1" x14ac:dyDescent="0.3">
      <c r="B16" s="12" t="s">
        <v>20</v>
      </c>
      <c r="C16" s="13">
        <v>0.3</v>
      </c>
      <c r="D16" s="14">
        <v>0.25</v>
      </c>
      <c r="E16" s="14">
        <v>0.25</v>
      </c>
      <c r="F16" s="14">
        <f>1-SUM(C16:E16)</f>
        <v>0.19999999999999996</v>
      </c>
      <c r="G16" s="15">
        <f>SUM(C16:F16)</f>
        <v>1</v>
      </c>
    </row>
    <row r="17" spans="2:7" s="2" customFormat="1" x14ac:dyDescent="0.3">
      <c r="B17" s="12" t="s">
        <v>21</v>
      </c>
      <c r="C17" s="16">
        <v>1</v>
      </c>
      <c r="D17" s="17">
        <v>1</v>
      </c>
      <c r="E17" s="17">
        <v>1</v>
      </c>
      <c r="F17" s="17">
        <v>1</v>
      </c>
      <c r="G17" s="18"/>
    </row>
    <row r="18" spans="2:7" s="2" customFormat="1" x14ac:dyDescent="0.3">
      <c r="B18" s="12" t="s">
        <v>22</v>
      </c>
      <c r="C18" s="19">
        <f>$E$14*C16</f>
        <v>7.5</v>
      </c>
      <c r="D18" s="20">
        <f>$E$14*D16</f>
        <v>6.25</v>
      </c>
      <c r="E18" s="20">
        <f>$E$14*E16</f>
        <v>6.25</v>
      </c>
      <c r="F18" s="20">
        <f>$E$14*F16</f>
        <v>4.9999999999999991</v>
      </c>
      <c r="G18" s="21">
        <f>SUM(C18:F18)</f>
        <v>25</v>
      </c>
    </row>
    <row r="19" spans="2:7" s="2" customFormat="1" x14ac:dyDescent="0.3">
      <c r="B19" s="12" t="s">
        <v>23</v>
      </c>
      <c r="C19" s="13">
        <v>0.95</v>
      </c>
      <c r="D19" s="14">
        <v>0.9</v>
      </c>
      <c r="E19" s="14">
        <v>0.85</v>
      </c>
      <c r="F19" s="14">
        <v>0.8</v>
      </c>
      <c r="G19" s="15"/>
    </row>
    <row r="20" spans="2:7" s="2" customFormat="1" x14ac:dyDescent="0.3">
      <c r="B20" s="12" t="s">
        <v>24</v>
      </c>
      <c r="C20" s="13">
        <f>1/C19-1</f>
        <v>5.2631578947368363E-2</v>
      </c>
      <c r="D20" s="13">
        <f>1/D19-1</f>
        <v>0.11111111111111116</v>
      </c>
      <c r="E20" s="13">
        <f t="shared" ref="E20" si="0">1/E19-1</f>
        <v>0.17647058823529416</v>
      </c>
      <c r="F20" s="13">
        <v>0.18</v>
      </c>
      <c r="G20" s="15"/>
    </row>
    <row r="21" spans="2:7" s="2" customFormat="1" x14ac:dyDescent="0.3">
      <c r="B21" s="38" t="s">
        <v>25</v>
      </c>
      <c r="C21" s="39">
        <f>C18*C19</f>
        <v>7.125</v>
      </c>
      <c r="D21" s="40">
        <f>D18*D19</f>
        <v>5.625</v>
      </c>
      <c r="E21" s="40">
        <f t="shared" ref="E21:F21" si="1">E18*E19</f>
        <v>5.3125</v>
      </c>
      <c r="F21" s="40">
        <f t="shared" si="1"/>
        <v>3.9999999999999996</v>
      </c>
      <c r="G21" s="41">
        <f>SUM(C21:F21)</f>
        <v>22.0625</v>
      </c>
    </row>
    <row r="22" spans="2:7" s="58" customFormat="1" x14ac:dyDescent="0.3">
      <c r="B22" s="42" t="s">
        <v>26</v>
      </c>
      <c r="C22" s="54">
        <f>C18-C21</f>
        <v>0.375</v>
      </c>
      <c r="D22" s="55">
        <f t="shared" ref="D22:F22" si="2">D18-D21</f>
        <v>0.625</v>
      </c>
      <c r="E22" s="55">
        <f t="shared" si="2"/>
        <v>0.9375</v>
      </c>
      <c r="F22" s="55">
        <f t="shared" si="2"/>
        <v>0.99999999999999956</v>
      </c>
      <c r="G22" s="56">
        <f>SUM(C22:F22)</f>
        <v>2.9374999999999996</v>
      </c>
    </row>
    <row r="23" spans="2:7" s="2" customFormat="1" x14ac:dyDescent="0.3">
      <c r="B23" s="25" t="s">
        <v>27</v>
      </c>
      <c r="C23" s="39">
        <f>C21*C24*C15/12</f>
        <v>0.18703124999999998</v>
      </c>
      <c r="D23" s="40">
        <f>D21*D24*D15/12</f>
        <v>0.30937500000000001</v>
      </c>
      <c r="E23" s="40">
        <f>E21*E24*E15/12</f>
        <v>0.45820312500000004</v>
      </c>
      <c r="F23" s="40">
        <f>F21*F24*F15/12</f>
        <v>0.47999999999999993</v>
      </c>
      <c r="G23" s="41">
        <f>SUM(C23:F23)</f>
        <v>1.434609375</v>
      </c>
    </row>
    <row r="24" spans="2:7" s="2" customFormat="1" x14ac:dyDescent="0.3">
      <c r="B24" s="32" t="s">
        <v>28</v>
      </c>
      <c r="C24" s="43">
        <v>0.105</v>
      </c>
      <c r="D24" s="44">
        <v>0.11</v>
      </c>
      <c r="E24" s="44">
        <v>0.115</v>
      </c>
      <c r="F24" s="44">
        <v>0.12</v>
      </c>
      <c r="G24" s="45"/>
    </row>
    <row r="25" spans="2:7" s="2" customFormat="1" x14ac:dyDescent="0.3">
      <c r="B25" s="25" t="s">
        <v>29</v>
      </c>
      <c r="C25" s="39">
        <f>(C22-C23)/1.06*0.06*(1+12%)</f>
        <v>1.1916509433962266E-2</v>
      </c>
      <c r="D25" s="40">
        <f>(D22-D23)/1.06*0.06*(1+12%)</f>
        <v>2.0009433962264147E-2</v>
      </c>
      <c r="E25" s="40">
        <f>(E22-E23)/1.06*0.06*(1+12%)</f>
        <v>3.0385613207547166E-2</v>
      </c>
      <c r="F25" s="40">
        <f>(F22-F23)/1.06*0.06*(1+12%)</f>
        <v>3.2966037735849031E-2</v>
      </c>
      <c r="G25" s="41">
        <f>SUM(C25:F25)</f>
        <v>9.5277594339622601E-2</v>
      </c>
    </row>
    <row r="26" spans="2:7" s="2" customFormat="1" x14ac:dyDescent="0.3">
      <c r="B26" s="25" t="s">
        <v>30</v>
      </c>
      <c r="C26" s="39">
        <f>C21*C27</f>
        <v>0.14250000000000002</v>
      </c>
      <c r="D26" s="39">
        <f>D21*D27</f>
        <v>0.1125</v>
      </c>
      <c r="E26" s="39">
        <f>E21*E27</f>
        <v>0.10625</v>
      </c>
      <c r="F26" s="39">
        <f>F21*F27</f>
        <v>7.9999999999999988E-2</v>
      </c>
      <c r="G26" s="41">
        <f>SUM(C26:F26)</f>
        <v>0.44125000000000003</v>
      </c>
    </row>
    <row r="27" spans="2:7" s="2" customFormat="1" x14ac:dyDescent="0.3">
      <c r="B27" s="32" t="s">
        <v>31</v>
      </c>
      <c r="C27" s="43">
        <v>0.02</v>
      </c>
      <c r="D27" s="46">
        <v>0.02</v>
      </c>
      <c r="E27" s="46">
        <v>0.02</v>
      </c>
      <c r="F27" s="46">
        <v>0.02</v>
      </c>
      <c r="G27" s="47">
        <f>SUM(C27:F27)</f>
        <v>0.08</v>
      </c>
    </row>
    <row r="28" spans="2:7" s="2" customFormat="1" x14ac:dyDescent="0.3">
      <c r="B28" s="25" t="s">
        <v>32</v>
      </c>
      <c r="C28" s="48">
        <f>C22-C23-C26-C25</f>
        <v>3.3552240566037735E-2</v>
      </c>
      <c r="D28" s="40">
        <f>D22-D23-D26-D25</f>
        <v>0.18311556603773585</v>
      </c>
      <c r="E28" s="40">
        <f>E22-E23-E26-E25</f>
        <v>0.34266126179245276</v>
      </c>
      <c r="F28" s="40">
        <f>F22-F23-F26-F25</f>
        <v>0.40703396226415056</v>
      </c>
      <c r="G28" s="41">
        <f>SUM(C28:F28)</f>
        <v>0.96636303066037688</v>
      </c>
    </row>
    <row r="29" spans="2:7" s="2" customFormat="1" x14ac:dyDescent="0.3">
      <c r="B29" s="49" t="s">
        <v>33</v>
      </c>
      <c r="C29" s="50">
        <f>C28/C22</f>
        <v>8.9472641509433959E-2</v>
      </c>
      <c r="D29" s="51">
        <f t="shared" ref="D29:G29" si="3">D28/D22</f>
        <v>0.29298490566037738</v>
      </c>
      <c r="E29" s="51">
        <f t="shared" si="3"/>
        <v>0.36550534591194961</v>
      </c>
      <c r="F29" s="51">
        <f t="shared" si="3"/>
        <v>0.40703396226415073</v>
      </c>
      <c r="G29" s="47">
        <f t="shared" si="3"/>
        <v>0.32897464873544752</v>
      </c>
    </row>
    <row r="30" spans="2:7" s="2" customFormat="1" x14ac:dyDescent="0.3">
      <c r="B30" s="25" t="s">
        <v>34</v>
      </c>
      <c r="C30" s="48">
        <f>C32+C34+C36+C38+C40</f>
        <v>5.6249999999999998E-3</v>
      </c>
      <c r="D30" s="48">
        <f t="shared" ref="D30:E30" si="4">D32+D34+D36+D38+D40</f>
        <v>9.3750000000000014E-3</v>
      </c>
      <c r="E30" s="48">
        <f t="shared" si="4"/>
        <v>1.4062499999999999E-2</v>
      </c>
      <c r="F30" s="52">
        <f>F32+F34+F36+F38+F40</f>
        <v>1.4999999999999993E-2</v>
      </c>
      <c r="G30" s="41">
        <f>SUM(C30:F30)</f>
        <v>4.4062499999999991E-2</v>
      </c>
    </row>
    <row r="31" spans="2:7" s="2" customFormat="1" x14ac:dyDescent="0.3">
      <c r="B31" s="32" t="s">
        <v>35</v>
      </c>
      <c r="C31" s="53">
        <f>C30/C22</f>
        <v>1.4999999999999999E-2</v>
      </c>
      <c r="D31" s="53">
        <f t="shared" ref="D31:G31" si="5">D30/D22</f>
        <v>1.5000000000000003E-2</v>
      </c>
      <c r="E31" s="53">
        <f t="shared" si="5"/>
        <v>1.4999999999999998E-2</v>
      </c>
      <c r="F31" s="53">
        <f t="shared" si="5"/>
        <v>1.4999999999999999E-2</v>
      </c>
      <c r="G31" s="45">
        <f t="shared" si="5"/>
        <v>1.4999999999999999E-2</v>
      </c>
    </row>
    <row r="32" spans="2:7" s="2" customFormat="1" x14ac:dyDescent="0.3">
      <c r="B32" s="25" t="s">
        <v>36</v>
      </c>
      <c r="C32" s="22">
        <f>C$22*C33</f>
        <v>0</v>
      </c>
      <c r="D32" s="23">
        <f>D$22*D33</f>
        <v>0</v>
      </c>
      <c r="E32" s="23">
        <f>E$22*E33</f>
        <v>0</v>
      </c>
      <c r="F32" s="30">
        <f>F$22*F33</f>
        <v>0</v>
      </c>
      <c r="G32" s="24">
        <f>SUM(C32:F32)</f>
        <v>0</v>
      </c>
    </row>
    <row r="33" spans="2:9" s="2" customFormat="1" x14ac:dyDescent="0.3">
      <c r="B33" s="12" t="s">
        <v>37</v>
      </c>
      <c r="C33" s="26"/>
      <c r="D33" s="17"/>
      <c r="E33" s="17"/>
      <c r="F33" s="17"/>
      <c r="G33" s="31"/>
    </row>
    <row r="34" spans="2:9" s="2" customFormat="1" x14ac:dyDescent="0.3">
      <c r="B34" s="25" t="s">
        <v>38</v>
      </c>
      <c r="C34" s="22">
        <f>C$22*C35</f>
        <v>3.7499999999999999E-3</v>
      </c>
      <c r="D34" s="23">
        <f>D$22*D35</f>
        <v>6.2500000000000003E-3</v>
      </c>
      <c r="E34" s="23">
        <f>E$22*E35</f>
        <v>9.3749999999999997E-3</v>
      </c>
      <c r="F34" s="23">
        <f>F$22*F35</f>
        <v>9.999999999999995E-3</v>
      </c>
      <c r="G34" s="24">
        <f>SUM(C34:F34)</f>
        <v>2.9374999999999995E-2</v>
      </c>
    </row>
    <row r="35" spans="2:9" s="2" customFormat="1" x14ac:dyDescent="0.3">
      <c r="B35" s="12" t="s">
        <v>39</v>
      </c>
      <c r="C35" s="26">
        <v>0.01</v>
      </c>
      <c r="D35" s="27">
        <v>0.01</v>
      </c>
      <c r="E35" s="27">
        <v>0.01</v>
      </c>
      <c r="F35" s="27">
        <v>0.01</v>
      </c>
      <c r="G35" s="31"/>
    </row>
    <row r="36" spans="2:9" s="2" customFormat="1" x14ac:dyDescent="0.3">
      <c r="B36" s="25" t="s">
        <v>40</v>
      </c>
      <c r="C36" s="22">
        <f>C$22*C37</f>
        <v>1.8749999999999999E-3</v>
      </c>
      <c r="D36" s="23">
        <f>D$22*D37</f>
        <v>3.1250000000000002E-3</v>
      </c>
      <c r="E36" s="23">
        <f>E$22*E37</f>
        <v>4.6874999999999998E-3</v>
      </c>
      <c r="F36" s="23">
        <f>F$22*F37</f>
        <v>4.9999999999999975E-3</v>
      </c>
      <c r="G36" s="24">
        <f>SUM(C36:F36)</f>
        <v>1.4687499999999997E-2</v>
      </c>
    </row>
    <row r="37" spans="2:9" s="2" customFormat="1" x14ac:dyDescent="0.3">
      <c r="B37" s="12" t="s">
        <v>41</v>
      </c>
      <c r="C37" s="13">
        <v>5.0000000000000001E-3</v>
      </c>
      <c r="D37" s="14">
        <v>5.0000000000000001E-3</v>
      </c>
      <c r="E37" s="14">
        <v>5.0000000000000001E-3</v>
      </c>
      <c r="F37" s="14">
        <v>5.0000000000000001E-3</v>
      </c>
      <c r="G37" s="31"/>
    </row>
    <row r="38" spans="2:9" s="2" customFormat="1" x14ac:dyDescent="0.3">
      <c r="B38" s="25" t="s">
        <v>42</v>
      </c>
      <c r="C38" s="22">
        <f>C$22*C39</f>
        <v>0</v>
      </c>
      <c r="D38" s="23">
        <f>D$22*D39</f>
        <v>0</v>
      </c>
      <c r="E38" s="23">
        <f>E$22*E39</f>
        <v>0</v>
      </c>
      <c r="F38" s="23">
        <f>F$22*F39</f>
        <v>0</v>
      </c>
      <c r="G38" s="24">
        <f>SUM(C38:F38)</f>
        <v>0</v>
      </c>
    </row>
    <row r="39" spans="2:9" s="2" customFormat="1" x14ac:dyDescent="0.3">
      <c r="B39" s="12" t="s">
        <v>43</v>
      </c>
      <c r="C39" s="16"/>
      <c r="D39" s="17"/>
      <c r="E39" s="17"/>
      <c r="F39" s="17"/>
      <c r="G39" s="31"/>
    </row>
    <row r="40" spans="2:9" s="2" customFormat="1" x14ac:dyDescent="0.3">
      <c r="B40" s="25" t="s">
        <v>44</v>
      </c>
      <c r="C40" s="22">
        <f>C$22*C41</f>
        <v>0</v>
      </c>
      <c r="D40" s="23">
        <f>D$22*D41</f>
        <v>0</v>
      </c>
      <c r="E40" s="23">
        <f>E$22*E41</f>
        <v>0</v>
      </c>
      <c r="F40" s="23">
        <f>F$22*F41</f>
        <v>0</v>
      </c>
      <c r="G40" s="24">
        <f>SUM(C40:F40)</f>
        <v>0</v>
      </c>
    </row>
    <row r="41" spans="2:9" s="2" customFormat="1" x14ac:dyDescent="0.3">
      <c r="B41" s="32" t="s">
        <v>45</v>
      </c>
      <c r="C41" s="16"/>
      <c r="D41" s="17"/>
      <c r="E41" s="17"/>
      <c r="F41" s="17"/>
      <c r="G41" s="31"/>
    </row>
    <row r="42" spans="2:9" s="2" customFormat="1" x14ac:dyDescent="0.3">
      <c r="B42" s="28" t="s">
        <v>46</v>
      </c>
      <c r="C42" s="29">
        <f>C28-C30</f>
        <v>2.7927240566037737E-2</v>
      </c>
      <c r="D42" s="23">
        <f t="shared" ref="D42:F42" si="6">D28-D30</f>
        <v>0.17374056603773586</v>
      </c>
      <c r="E42" s="23">
        <f t="shared" si="6"/>
        <v>0.32859876179245279</v>
      </c>
      <c r="F42" s="23">
        <f t="shared" si="6"/>
        <v>0.39203396226415055</v>
      </c>
      <c r="G42" s="24">
        <f>SUM(C42:F42)</f>
        <v>0.92230053066037698</v>
      </c>
    </row>
    <row r="43" spans="2:9" s="2" customFormat="1" ht="15" thickBot="1" x14ac:dyDescent="0.35">
      <c r="B43" s="33" t="s">
        <v>47</v>
      </c>
      <c r="C43" s="34">
        <f>C42/C22</f>
        <v>7.4472641509433959E-2</v>
      </c>
      <c r="D43" s="35">
        <f t="shared" ref="D43:F43" si="7">D42/D22</f>
        <v>0.27798490566037737</v>
      </c>
      <c r="E43" s="35">
        <f t="shared" si="7"/>
        <v>0.35050534591194965</v>
      </c>
      <c r="F43" s="35">
        <f t="shared" si="7"/>
        <v>0.39203396226415071</v>
      </c>
      <c r="G43" s="36">
        <f>G42/G22</f>
        <v>0.3139746487354475</v>
      </c>
      <c r="I43" s="2" t="s">
        <v>48</v>
      </c>
    </row>
  </sheetData>
  <sheetProtection selectLockedCells="1" selectUnlockedCells="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7"/>
  <sheetViews>
    <sheetView zoomScaleNormal="100" workbookViewId="0">
      <selection activeCell="G10" sqref="G10"/>
    </sheetView>
  </sheetViews>
  <sheetFormatPr defaultRowHeight="12.75" customHeight="1" x14ac:dyDescent="0.2"/>
  <cols>
    <col min="1" max="1" width="9" style="78"/>
    <col min="2" max="2" width="27.75" style="78" customWidth="1"/>
    <col min="3" max="14" width="9" style="85"/>
    <col min="15" max="15" width="9" style="119"/>
    <col min="16" max="16384" width="9" style="78"/>
  </cols>
  <sheetData>
    <row r="1" spans="1:16" ht="29.25" customHeight="1" x14ac:dyDescent="0.2">
      <c r="B1" s="173" t="s">
        <v>120</v>
      </c>
    </row>
    <row r="2" spans="1:16" ht="48.75" customHeight="1" x14ac:dyDescent="0.2">
      <c r="B2" s="426" t="s">
        <v>156</v>
      </c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</row>
    <row r="3" spans="1:16" ht="7.5" customHeight="1" x14ac:dyDescent="0.2">
      <c r="B3" s="172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</row>
    <row r="4" spans="1:16" ht="7.5" customHeight="1" thickBot="1" x14ac:dyDescent="0.25">
      <c r="B4" s="172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1:16" ht="12.75" customHeight="1" x14ac:dyDescent="0.2">
      <c r="A5" s="128"/>
      <c r="B5" s="134" t="s">
        <v>18</v>
      </c>
      <c r="C5" s="135">
        <v>1</v>
      </c>
      <c r="D5" s="135">
        <v>2</v>
      </c>
      <c r="E5" s="135">
        <v>3</v>
      </c>
      <c r="F5" s="135">
        <v>3.5</v>
      </c>
      <c r="G5" s="135">
        <v>5</v>
      </c>
      <c r="H5" s="135">
        <v>6</v>
      </c>
      <c r="I5" s="135">
        <v>7</v>
      </c>
      <c r="J5" s="135">
        <v>8</v>
      </c>
      <c r="K5" s="135">
        <v>9</v>
      </c>
      <c r="L5" s="135">
        <v>10</v>
      </c>
      <c r="M5" s="135">
        <v>11</v>
      </c>
      <c r="N5" s="135">
        <v>12</v>
      </c>
      <c r="O5" s="136" t="s">
        <v>50</v>
      </c>
    </row>
    <row r="6" spans="1:16" ht="12.75" customHeight="1" x14ac:dyDescent="0.3">
      <c r="A6" s="129"/>
      <c r="B6" s="79" t="s">
        <v>20</v>
      </c>
      <c r="C6" s="86">
        <v>0.05</v>
      </c>
      <c r="D6" s="86">
        <v>0.05</v>
      </c>
      <c r="E6" s="86">
        <v>0.1</v>
      </c>
      <c r="F6" s="86">
        <v>0.1</v>
      </c>
      <c r="G6" s="86">
        <v>0.1</v>
      </c>
      <c r="H6" s="86">
        <v>0.1</v>
      </c>
      <c r="I6" s="86">
        <v>0.1</v>
      </c>
      <c r="J6" s="86">
        <v>0.1</v>
      </c>
      <c r="K6" s="86">
        <v>0.1</v>
      </c>
      <c r="L6" s="86">
        <v>0.1</v>
      </c>
      <c r="M6" s="86">
        <v>0.05</v>
      </c>
      <c r="N6" s="88">
        <f>1-SUM(C6:M6)</f>
        <v>5.0000000000000044E-2</v>
      </c>
      <c r="O6" s="106">
        <f>SUM(C6:N6)</f>
        <v>1</v>
      </c>
      <c r="P6" s="215">
        <f>SUMPRODUCT(C5:N5)*SUMPRODUCT(C6:N6)/12</f>
        <v>6.458333333333333</v>
      </c>
    </row>
    <row r="7" spans="1:16" ht="12.75" customHeight="1" x14ac:dyDescent="0.3">
      <c r="A7" s="129"/>
      <c r="B7" s="79" t="s">
        <v>59</v>
      </c>
      <c r="C7" s="86">
        <v>1.4999999999999999E-2</v>
      </c>
      <c r="D7" s="88">
        <f>C7</f>
        <v>1.4999999999999999E-2</v>
      </c>
      <c r="E7" s="88">
        <f t="shared" ref="E7:N8" si="0">D7</f>
        <v>1.4999999999999999E-2</v>
      </c>
      <c r="F7" s="88">
        <f t="shared" si="0"/>
        <v>1.4999999999999999E-2</v>
      </c>
      <c r="G7" s="88">
        <f t="shared" si="0"/>
        <v>1.4999999999999999E-2</v>
      </c>
      <c r="H7" s="88">
        <f t="shared" si="0"/>
        <v>1.4999999999999999E-2</v>
      </c>
      <c r="I7" s="88">
        <f t="shared" si="0"/>
        <v>1.4999999999999999E-2</v>
      </c>
      <c r="J7" s="88">
        <f t="shared" si="0"/>
        <v>1.4999999999999999E-2</v>
      </c>
      <c r="K7" s="88">
        <f t="shared" si="0"/>
        <v>1.4999999999999999E-2</v>
      </c>
      <c r="L7" s="88">
        <f t="shared" si="0"/>
        <v>1.4999999999999999E-2</v>
      </c>
      <c r="M7" s="88">
        <f t="shared" si="0"/>
        <v>1.4999999999999999E-2</v>
      </c>
      <c r="N7" s="88">
        <f t="shared" si="0"/>
        <v>1.4999999999999999E-2</v>
      </c>
      <c r="O7" s="107"/>
    </row>
    <row r="8" spans="1:16" ht="12.75" customHeight="1" x14ac:dyDescent="0.3">
      <c r="A8" s="129"/>
      <c r="B8" s="79" t="s">
        <v>117</v>
      </c>
      <c r="C8" s="197">
        <v>15.4</v>
      </c>
      <c r="D8" s="198">
        <f>C8</f>
        <v>15.4</v>
      </c>
      <c r="E8" s="198">
        <f t="shared" si="0"/>
        <v>15.4</v>
      </c>
      <c r="F8" s="198">
        <f t="shared" si="0"/>
        <v>15.4</v>
      </c>
      <c r="G8" s="198">
        <f t="shared" si="0"/>
        <v>15.4</v>
      </c>
      <c r="H8" s="198">
        <f t="shared" si="0"/>
        <v>15.4</v>
      </c>
      <c r="I8" s="198">
        <f t="shared" si="0"/>
        <v>15.4</v>
      </c>
      <c r="J8" s="198">
        <f t="shared" si="0"/>
        <v>15.4</v>
      </c>
      <c r="K8" s="198">
        <f t="shared" si="0"/>
        <v>15.4</v>
      </c>
      <c r="L8" s="198">
        <f t="shared" si="0"/>
        <v>15.4</v>
      </c>
      <c r="M8" s="198">
        <f t="shared" si="0"/>
        <v>15.4</v>
      </c>
      <c r="N8" s="198">
        <f t="shared" si="0"/>
        <v>15.4</v>
      </c>
      <c r="O8" s="107"/>
    </row>
    <row r="9" spans="1:16" ht="24" customHeight="1" x14ac:dyDescent="0.2">
      <c r="A9" s="129"/>
      <c r="B9" s="79" t="s">
        <v>118</v>
      </c>
      <c r="C9" s="200">
        <v>1</v>
      </c>
      <c r="D9" s="201">
        <v>1</v>
      </c>
      <c r="E9" s="201">
        <v>2</v>
      </c>
      <c r="F9" s="201">
        <v>2</v>
      </c>
      <c r="G9" s="201">
        <v>2</v>
      </c>
      <c r="H9" s="201">
        <v>3</v>
      </c>
      <c r="I9" s="201">
        <v>3</v>
      </c>
      <c r="J9" s="201">
        <v>3</v>
      </c>
      <c r="K9" s="201">
        <v>4</v>
      </c>
      <c r="L9" s="201">
        <v>4</v>
      </c>
      <c r="M9" s="201">
        <v>4</v>
      </c>
      <c r="N9" s="201">
        <v>5</v>
      </c>
      <c r="O9" s="107"/>
    </row>
    <row r="10" spans="1:16" ht="12.75" customHeight="1" x14ac:dyDescent="0.3">
      <c r="A10" s="129"/>
      <c r="B10" s="79" t="s">
        <v>53</v>
      </c>
      <c r="C10" s="88">
        <f t="shared" ref="C10:N10" si="1">C7*C5</f>
        <v>1.4999999999999999E-2</v>
      </c>
      <c r="D10" s="88">
        <f t="shared" si="1"/>
        <v>0.03</v>
      </c>
      <c r="E10" s="88">
        <f t="shared" si="1"/>
        <v>4.4999999999999998E-2</v>
      </c>
      <c r="F10" s="88">
        <f t="shared" si="1"/>
        <v>5.2499999999999998E-2</v>
      </c>
      <c r="G10" s="88">
        <f t="shared" si="1"/>
        <v>7.4999999999999997E-2</v>
      </c>
      <c r="H10" s="88">
        <f t="shared" si="1"/>
        <v>0.09</v>
      </c>
      <c r="I10" s="88">
        <f t="shared" si="1"/>
        <v>0.105</v>
      </c>
      <c r="J10" s="88">
        <f t="shared" si="1"/>
        <v>0.12</v>
      </c>
      <c r="K10" s="88">
        <f t="shared" si="1"/>
        <v>0.13500000000000001</v>
      </c>
      <c r="L10" s="88">
        <f t="shared" si="1"/>
        <v>0.15</v>
      </c>
      <c r="M10" s="88">
        <f t="shared" si="1"/>
        <v>0.16499999999999998</v>
      </c>
      <c r="N10" s="88">
        <f t="shared" si="1"/>
        <v>0.18</v>
      </c>
      <c r="O10" s="108"/>
    </row>
    <row r="11" spans="1:16" ht="12.75" customHeight="1" x14ac:dyDescent="0.3">
      <c r="A11" s="129"/>
      <c r="B11" s="79" t="s">
        <v>51</v>
      </c>
      <c r="C11" s="87">
        <f t="shared" ref="C11:M11" si="2">C13/C12</f>
        <v>1.0911249999999999</v>
      </c>
      <c r="D11" s="87">
        <f t="shared" si="2"/>
        <v>1.1072499999999998</v>
      </c>
      <c r="E11" s="87">
        <f t="shared" si="2"/>
        <v>2.2467499999999996</v>
      </c>
      <c r="F11" s="87">
        <f t="shared" si="2"/>
        <v>2.2628749999999997</v>
      </c>
      <c r="G11" s="87">
        <f t="shared" si="2"/>
        <v>2.3112499999999998</v>
      </c>
      <c r="H11" s="87">
        <f t="shared" si="2"/>
        <v>2.3435000000000001</v>
      </c>
      <c r="I11" s="87">
        <f t="shared" si="2"/>
        <v>2.37575</v>
      </c>
      <c r="J11" s="87">
        <f t="shared" si="2"/>
        <v>2.4079999999999999</v>
      </c>
      <c r="K11" s="87">
        <f t="shared" si="2"/>
        <v>2.4402499999999998</v>
      </c>
      <c r="L11" s="87">
        <f t="shared" si="2"/>
        <v>2.4724999999999997</v>
      </c>
      <c r="M11" s="87">
        <f t="shared" si="2"/>
        <v>1.252375</v>
      </c>
      <c r="N11" s="87">
        <f>N13/N12</f>
        <v>1.2685000000000011</v>
      </c>
      <c r="O11" s="125">
        <v>23.6</v>
      </c>
    </row>
    <row r="12" spans="1:16" ht="12.75" customHeight="1" x14ac:dyDescent="0.3">
      <c r="A12" s="129"/>
      <c r="B12" s="79" t="s">
        <v>52</v>
      </c>
      <c r="C12" s="88">
        <f t="shared" ref="C12:N12" si="3">1/(1+C10)</f>
        <v>0.98522167487684742</v>
      </c>
      <c r="D12" s="88">
        <f t="shared" si="3"/>
        <v>0.970873786407767</v>
      </c>
      <c r="E12" s="88">
        <f t="shared" si="3"/>
        <v>0.95693779904306231</v>
      </c>
      <c r="F12" s="88">
        <f t="shared" si="3"/>
        <v>0.95011876484560576</v>
      </c>
      <c r="G12" s="88">
        <f t="shared" si="3"/>
        <v>0.93023255813953487</v>
      </c>
      <c r="H12" s="88">
        <f t="shared" si="3"/>
        <v>0.9174311926605504</v>
      </c>
      <c r="I12" s="88">
        <f t="shared" si="3"/>
        <v>0.90497737556561086</v>
      </c>
      <c r="J12" s="88">
        <f t="shared" si="3"/>
        <v>0.89285714285714279</v>
      </c>
      <c r="K12" s="88">
        <f t="shared" si="3"/>
        <v>0.88105726872246692</v>
      </c>
      <c r="L12" s="88">
        <f t="shared" si="3"/>
        <v>0.86956521739130443</v>
      </c>
      <c r="M12" s="88">
        <f t="shared" si="3"/>
        <v>0.85836909871244638</v>
      </c>
      <c r="N12" s="88">
        <f t="shared" si="3"/>
        <v>0.84745762711864414</v>
      </c>
      <c r="O12" s="108"/>
    </row>
    <row r="13" spans="1:16" s="100" customFormat="1" ht="12.75" customHeight="1" thickBot="1" x14ac:dyDescent="0.35">
      <c r="A13" s="130"/>
      <c r="B13" s="131" t="s">
        <v>58</v>
      </c>
      <c r="C13" s="132">
        <f>$O$13*C6</f>
        <v>1.075</v>
      </c>
      <c r="D13" s="132">
        <f t="shared" ref="D13:N13" si="4">$O$13*D6</f>
        <v>1.075</v>
      </c>
      <c r="E13" s="132">
        <f t="shared" si="4"/>
        <v>2.15</v>
      </c>
      <c r="F13" s="132">
        <f t="shared" si="4"/>
        <v>2.15</v>
      </c>
      <c r="G13" s="132">
        <f t="shared" si="4"/>
        <v>2.15</v>
      </c>
      <c r="H13" s="132">
        <f t="shared" si="4"/>
        <v>2.15</v>
      </c>
      <c r="I13" s="132">
        <f t="shared" si="4"/>
        <v>2.15</v>
      </c>
      <c r="J13" s="132">
        <f t="shared" si="4"/>
        <v>2.15</v>
      </c>
      <c r="K13" s="132">
        <f t="shared" si="4"/>
        <v>2.15</v>
      </c>
      <c r="L13" s="132">
        <f t="shared" si="4"/>
        <v>2.15</v>
      </c>
      <c r="M13" s="132">
        <f t="shared" si="4"/>
        <v>1.075</v>
      </c>
      <c r="N13" s="132">
        <f t="shared" si="4"/>
        <v>1.0750000000000011</v>
      </c>
      <c r="O13" s="183">
        <f>'原版-2020-2021年垫资资金成本1'!C15</f>
        <v>21.5</v>
      </c>
    </row>
    <row r="14" spans="1:16" s="101" customFormat="1" ht="12.75" customHeight="1" x14ac:dyDescent="0.3">
      <c r="A14" s="427" t="s">
        <v>77</v>
      </c>
      <c r="B14" s="82" t="s">
        <v>54</v>
      </c>
      <c r="C14" s="90">
        <f>C13*C10</f>
        <v>1.6125E-2</v>
      </c>
      <c r="D14" s="90">
        <f t="shared" ref="D14:H14" si="5">D13*D10</f>
        <v>3.2250000000000001E-2</v>
      </c>
      <c r="E14" s="90">
        <f t="shared" si="5"/>
        <v>9.6749999999999989E-2</v>
      </c>
      <c r="F14" s="90">
        <f t="shared" si="5"/>
        <v>0.11287499999999999</v>
      </c>
      <c r="G14" s="90">
        <f t="shared" si="5"/>
        <v>0.16124999999999998</v>
      </c>
      <c r="H14" s="90">
        <f t="shared" si="5"/>
        <v>0.19349999999999998</v>
      </c>
      <c r="I14" s="90">
        <f t="shared" ref="I14" si="6">I13*I10</f>
        <v>0.22574999999999998</v>
      </c>
      <c r="J14" s="90">
        <f t="shared" ref="J14" si="7">J13*J10</f>
        <v>0.25800000000000001</v>
      </c>
      <c r="K14" s="90">
        <f t="shared" ref="K14" si="8">K13*K10</f>
        <v>0.29025000000000001</v>
      </c>
      <c r="L14" s="90">
        <f t="shared" ref="L14:M14" si="9">L13*L10</f>
        <v>0.32249999999999995</v>
      </c>
      <c r="M14" s="90">
        <f t="shared" si="9"/>
        <v>0.17737499999999998</v>
      </c>
      <c r="N14" s="90">
        <f>N13*N10</f>
        <v>0.19350000000000017</v>
      </c>
      <c r="O14" s="110">
        <f>SUM(C14:N14)</f>
        <v>2.0801250000000002</v>
      </c>
    </row>
    <row r="15" spans="1:16" s="83" customFormat="1" ht="12.75" customHeight="1" x14ac:dyDescent="0.3">
      <c r="A15" s="428"/>
      <c r="B15" s="96" t="s">
        <v>73</v>
      </c>
      <c r="C15" s="95">
        <f>C13*C16*C5/12+'原版-2020-2021年垫资资金成本1'!$AA$22*'原版-2019年新房垫佣测算--分摊至2021年垫资资金成本'!C14/'原版-2019年新房垫佣测算--分摊至2021年垫资资金成本'!$O$14</f>
        <v>9.3823177002583975E-3</v>
      </c>
      <c r="D15" s="95">
        <f>D13*D16*D5/12+'原版-2020-2021年垫资资金成本1'!$AA$22*'原版-2019年新房垫佣测算--分摊至2021年垫资资金成本'!D14/'原版-2019年新房垫佣测算--分摊至2021年垫资资金成本'!$O$14</f>
        <v>1.8764635400516795E-2</v>
      </c>
      <c r="E15" s="95">
        <f>E13*E16*E5/12+'原版-2020-2021年垫资资金成本1'!$AA$22*'原版-2019年新房垫佣测算--分摊至2021年垫资资金成本'!E14/'原版-2019年新房垫佣测算--分摊至2021年垫资资金成本'!$O$14</f>
        <v>5.6293906201550378E-2</v>
      </c>
      <c r="F15" s="95">
        <f>F13*F16*F5/12+'原版-2020-2021年垫资资金成本1'!$AA$22*'原版-2019年新房垫佣测算--分摊至2021年垫资资金成本'!F14/'原版-2019年新房垫佣测算--分摊至2021年垫资资金成本'!$O$14</f>
        <v>6.8811640568475441E-2</v>
      </c>
      <c r="G15" s="95">
        <f>G13*G16*G5/12+'原版-2020-2021年垫资资金成本1'!$AA$22*'原版-2019年新房垫佣测算--分摊至2021年垫资资金成本'!G14/'原版-2019年新房垫佣测算--分摊至2021年垫资资金成本'!$O$14</f>
        <v>9.8302343669250641E-2</v>
      </c>
      <c r="H15" s="95">
        <f>H13*H16*H5/12+'原版-2020-2021年垫资资金成本1'!$AA$22*'原版-2019年新房垫佣测算--分摊至2021年垫资资金成本'!H14/'原版-2019年新房垫佣测算--分摊至2021年垫资资金成本'!$O$14</f>
        <v>0.11796281240310078</v>
      </c>
      <c r="I15" s="95">
        <f>I13*I16*I5/12+'原版-2020-2021年垫资资金成本1'!$AA$22*'原版-2019年新房垫佣测算--分摊至2021年垫资资金成本'!I14/'原版-2019年新房垫佣测算--分摊至2021年垫资资金成本'!$O$14</f>
        <v>0.15016494780361755</v>
      </c>
      <c r="J15" s="95">
        <f>J13*J16*J5/12+'原版-2020-2021年垫资资金成本1'!$AA$22*'原版-2019年新房垫佣测算--分摊至2021年垫资资金成本'!J14/'原版-2019年新房垫佣测算--分摊至2021年垫资资金成本'!$O$14</f>
        <v>0.17161708320413435</v>
      </c>
      <c r="K15" s="95">
        <f>K13*K16*K5/12+'原版-2020-2021年垫资资金成本1'!$AA$22*'原版-2019年新房垫佣测算--分摊至2021年垫资资金成本'!K14/'原版-2019年新房垫佣测算--分摊至2021年垫资资金成本'!$O$14</f>
        <v>0.19306921860465115</v>
      </c>
      <c r="L15" s="95">
        <f>L13*L16*L5/12+'原版-2020-2021年垫资资金成本1'!$AA$22*'原版-2019年新房垫佣测算--分摊至2021年垫资资金成本'!L14/'原版-2019年新房垫佣测算--分摊至2021年垫资资金成本'!$O$14</f>
        <v>0.23243802067183461</v>
      </c>
      <c r="M15" s="95">
        <f>M13*M16*M5/12+'原版-2020-2021年垫资资金成本1'!$AA$22*'原版-2019年新房垫佣测算--分摊至2021年垫资资金成本'!M14/'原版-2019年新房垫佣测算--分摊至2021年垫资资金成本'!$O$14</f>
        <v>0.12784091136950904</v>
      </c>
      <c r="N15" s="95">
        <f>N13*N16*N5/12+'原版-2020-2021年垫资资金成本1'!$AA$22*'原版-2019年新房垫佣测算--分摊至2021年垫资资金成本'!N14/'原版-2019年新房垫佣测算--分摊至2021年垫资资金成本'!$O$14</f>
        <v>0.13946281240310091</v>
      </c>
      <c r="O15" s="111">
        <f>SUM(C15:N15)</f>
        <v>1.38411065</v>
      </c>
    </row>
    <row r="16" spans="1:16" ht="12.75" customHeight="1" x14ac:dyDescent="0.3">
      <c r="A16" s="428"/>
      <c r="B16" s="79" t="s">
        <v>28</v>
      </c>
      <c r="C16" s="91">
        <v>9.5000000000000001E-2</v>
      </c>
      <c r="D16" s="91">
        <v>9.5000000000000001E-2</v>
      </c>
      <c r="E16" s="91">
        <v>9.5000000000000001E-2</v>
      </c>
      <c r="F16" s="91">
        <v>0.1</v>
      </c>
      <c r="G16" s="91">
        <v>0.1</v>
      </c>
      <c r="H16" s="91">
        <v>0.1</v>
      </c>
      <c r="I16" s="91">
        <v>0.11</v>
      </c>
      <c r="J16" s="91">
        <v>0.11</v>
      </c>
      <c r="K16" s="91">
        <v>0.11</v>
      </c>
      <c r="L16" s="91">
        <v>0.12</v>
      </c>
      <c r="M16" s="91">
        <v>0.12</v>
      </c>
      <c r="N16" s="91">
        <v>0.12</v>
      </c>
      <c r="O16" s="108"/>
    </row>
    <row r="17" spans="1:15" ht="12.75" customHeight="1" x14ac:dyDescent="0.3">
      <c r="A17" s="428"/>
      <c r="B17" s="96" t="s">
        <v>74</v>
      </c>
      <c r="C17" s="87">
        <f t="shared" ref="C17:N17" si="10">(C14-C15)/1.06*0.06*(1+12%)</f>
        <v>4.2746061371946766E-4</v>
      </c>
      <c r="D17" s="87">
        <f t="shared" si="10"/>
        <v>8.5492122743893533E-4</v>
      </c>
      <c r="E17" s="87">
        <f t="shared" si="10"/>
        <v>2.5647636823168058E-3</v>
      </c>
      <c r="F17" s="87">
        <f t="shared" si="10"/>
        <v>2.793450711130613E-3</v>
      </c>
      <c r="G17" s="87">
        <f t="shared" si="10"/>
        <v>3.9906438730437314E-3</v>
      </c>
      <c r="H17" s="87">
        <f t="shared" si="10"/>
        <v>4.7887726476524778E-3</v>
      </c>
      <c r="I17" s="87">
        <f t="shared" si="10"/>
        <v>4.7918070826385838E-3</v>
      </c>
      <c r="J17" s="87">
        <f t="shared" si="10"/>
        <v>5.4763509515869547E-3</v>
      </c>
      <c r="K17" s="87">
        <f t="shared" si="10"/>
        <v>6.1608948205353238E-3</v>
      </c>
      <c r="L17" s="87">
        <f t="shared" si="10"/>
        <v>5.7095896328799162E-3</v>
      </c>
      <c r="M17" s="87">
        <f t="shared" si="10"/>
        <v>3.140274298083954E-3</v>
      </c>
      <c r="N17" s="87">
        <f t="shared" si="10"/>
        <v>3.4257537797279533E-3</v>
      </c>
      <c r="O17" s="108">
        <f>SUM(C17:N17)</f>
        <v>4.4124683320754705E-2</v>
      </c>
    </row>
    <row r="18" spans="1:15" s="98" customFormat="1" ht="12.75" customHeight="1" x14ac:dyDescent="0.3">
      <c r="A18" s="428"/>
      <c r="B18" s="96" t="s">
        <v>61</v>
      </c>
      <c r="C18" s="208">
        <f t="shared" ref="C18:N18" si="11">$O$18*C14/$O$14</f>
        <v>4.5166666666666662E-3</v>
      </c>
      <c r="D18" s="208">
        <f t="shared" si="11"/>
        <v>9.0333333333333325E-3</v>
      </c>
      <c r="E18" s="208">
        <f t="shared" si="11"/>
        <v>2.7099999999999996E-2</v>
      </c>
      <c r="F18" s="208">
        <f t="shared" si="11"/>
        <v>3.1616666666666661E-2</v>
      </c>
      <c r="G18" s="208">
        <f t="shared" si="11"/>
        <v>4.5166666666666654E-2</v>
      </c>
      <c r="H18" s="208">
        <f t="shared" si="11"/>
        <v>5.4199999999999991E-2</v>
      </c>
      <c r="I18" s="208">
        <f t="shared" si="11"/>
        <v>6.3233333333333322E-2</v>
      </c>
      <c r="J18" s="208">
        <f t="shared" si="11"/>
        <v>7.226666666666666E-2</v>
      </c>
      <c r="K18" s="208">
        <f t="shared" si="11"/>
        <v>8.1299999999999997E-2</v>
      </c>
      <c r="L18" s="208">
        <f t="shared" si="11"/>
        <v>9.0333333333333307E-2</v>
      </c>
      <c r="M18" s="208">
        <f t="shared" si="11"/>
        <v>4.9683333333333322E-2</v>
      </c>
      <c r="N18" s="208">
        <f t="shared" si="11"/>
        <v>5.420000000000004E-2</v>
      </c>
      <c r="O18" s="185">
        <f>O13*O19</f>
        <v>0.58265</v>
      </c>
    </row>
    <row r="19" spans="1:15" s="98" customFormat="1" ht="12.75" customHeight="1" x14ac:dyDescent="0.3">
      <c r="A19" s="428"/>
      <c r="B19" s="80" t="s">
        <v>55</v>
      </c>
      <c r="C19" s="209">
        <f t="shared" ref="C19:N19" si="12">C18/C13</f>
        <v>4.2015503875968991E-3</v>
      </c>
      <c r="D19" s="209">
        <f t="shared" si="12"/>
        <v>8.4031007751937982E-3</v>
      </c>
      <c r="E19" s="209">
        <f t="shared" si="12"/>
        <v>1.2604651162790696E-2</v>
      </c>
      <c r="F19" s="209">
        <f t="shared" si="12"/>
        <v>1.4705426356589146E-2</v>
      </c>
      <c r="G19" s="209">
        <f t="shared" si="12"/>
        <v>2.100775193798449E-2</v>
      </c>
      <c r="H19" s="209">
        <f t="shared" si="12"/>
        <v>2.5209302325581391E-2</v>
      </c>
      <c r="I19" s="209">
        <f t="shared" si="12"/>
        <v>2.9410852713178292E-2</v>
      </c>
      <c r="J19" s="209">
        <f t="shared" si="12"/>
        <v>3.3612403100775193E-2</v>
      </c>
      <c r="K19" s="209">
        <f t="shared" si="12"/>
        <v>3.781395348837209E-2</v>
      </c>
      <c r="L19" s="209">
        <f t="shared" si="12"/>
        <v>4.2015503875968981E-2</v>
      </c>
      <c r="M19" s="209">
        <f t="shared" si="12"/>
        <v>4.6217054263565885E-2</v>
      </c>
      <c r="N19" s="209">
        <f t="shared" si="12"/>
        <v>5.0418604651162775E-2</v>
      </c>
      <c r="O19" s="113">
        <v>2.7099999999999999E-2</v>
      </c>
    </row>
    <row r="20" spans="1:15" s="101" customFormat="1" ht="12.75" customHeight="1" x14ac:dyDescent="0.3">
      <c r="A20" s="428"/>
      <c r="B20" s="124" t="s">
        <v>71</v>
      </c>
      <c r="C20" s="90">
        <f t="shared" ref="C20:O20" si="13">C14-C15-C17-C18</f>
        <v>1.7985550193554689E-3</v>
      </c>
      <c r="D20" s="90">
        <f t="shared" si="13"/>
        <v>3.5971100387109378E-3</v>
      </c>
      <c r="E20" s="90">
        <f t="shared" si="13"/>
        <v>1.079133011613281E-2</v>
      </c>
      <c r="F20" s="90">
        <f t="shared" si="13"/>
        <v>9.653242053727272E-3</v>
      </c>
      <c r="G20" s="90">
        <f t="shared" si="13"/>
        <v>1.3790345791038952E-2</v>
      </c>
      <c r="H20" s="90">
        <f t="shared" si="13"/>
        <v>1.6548414949246727E-2</v>
      </c>
      <c r="I20" s="90">
        <f t="shared" si="13"/>
        <v>7.5599117804105165E-3</v>
      </c>
      <c r="J20" s="90">
        <f t="shared" si="13"/>
        <v>8.6398991776120426E-3</v>
      </c>
      <c r="K20" s="90">
        <f t="shared" si="13"/>
        <v>9.719886574813541E-3</v>
      </c>
      <c r="L20" s="90">
        <f t="shared" si="13"/>
        <v>-5.9809436380478809E-3</v>
      </c>
      <c r="M20" s="90">
        <f t="shared" si="13"/>
        <v>-3.2895190009263331E-3</v>
      </c>
      <c r="N20" s="90">
        <f t="shared" si="13"/>
        <v>-3.5885661828287257E-3</v>
      </c>
      <c r="O20" s="125">
        <f t="shared" si="13"/>
        <v>6.9239666679245526E-2</v>
      </c>
    </row>
    <row r="21" spans="1:15" s="83" customFormat="1" ht="12.75" customHeight="1" x14ac:dyDescent="0.3">
      <c r="A21" s="428"/>
      <c r="B21" s="202" t="s">
        <v>63</v>
      </c>
      <c r="C21" s="99">
        <f t="shared" ref="C21:O21" si="14">C20/C13</f>
        <v>1.6730744366097387E-3</v>
      </c>
      <c r="D21" s="99">
        <f t="shared" si="14"/>
        <v>3.3461488732194774E-3</v>
      </c>
      <c r="E21" s="99">
        <f t="shared" si="14"/>
        <v>5.0192233098292141E-3</v>
      </c>
      <c r="F21" s="99">
        <f t="shared" si="14"/>
        <v>4.4898800249894288E-3</v>
      </c>
      <c r="G21" s="99">
        <f t="shared" si="14"/>
        <v>6.4141143214134664E-3</v>
      </c>
      <c r="H21" s="99">
        <f t="shared" si="14"/>
        <v>7.6969371856961529E-3</v>
      </c>
      <c r="I21" s="99">
        <f t="shared" si="14"/>
        <v>3.5162380374002405E-3</v>
      </c>
      <c r="J21" s="99">
        <f t="shared" si="14"/>
        <v>4.018557757028857E-3</v>
      </c>
      <c r="K21" s="99">
        <f t="shared" si="14"/>
        <v>4.5208774766574613E-3</v>
      </c>
      <c r="L21" s="99">
        <f t="shared" si="14"/>
        <v>-2.7818342502548285E-3</v>
      </c>
      <c r="M21" s="99">
        <f t="shared" si="14"/>
        <v>-3.0600176752803099E-3</v>
      </c>
      <c r="N21" s="99">
        <f t="shared" si="14"/>
        <v>-3.3382011003057883E-3</v>
      </c>
      <c r="O21" s="114">
        <f t="shared" si="14"/>
        <v>3.2204496129881639E-3</v>
      </c>
    </row>
    <row r="22" spans="1:15" s="100" customFormat="1" ht="12.75" customHeight="1" x14ac:dyDescent="0.3">
      <c r="A22" s="428"/>
      <c r="B22" s="121" t="s">
        <v>75</v>
      </c>
      <c r="C22" s="89">
        <f>C24+C26+C28+C30+C32</f>
        <v>9.556933226093318E-4</v>
      </c>
      <c r="D22" s="89">
        <f t="shared" ref="D22:E22" si="15">D24+D26+D28+D30+D32</f>
        <v>9.9166442299644122E-4</v>
      </c>
      <c r="E22" s="89">
        <f t="shared" si="15"/>
        <v>3.8947154912115458E-3</v>
      </c>
      <c r="F22" s="89">
        <f>F24+F26+F28+F30+F32</f>
        <v>3.8719537299634348E-3</v>
      </c>
      <c r="G22" s="89">
        <f t="shared" ref="G22:L22" si="16">G24+G26+G28+G30+G32</f>
        <v>3.954695804709669E-3</v>
      </c>
      <c r="H22" s="89">
        <f t="shared" si="16"/>
        <v>5.8493016323182684E-3</v>
      </c>
      <c r="I22" s="89">
        <f t="shared" si="16"/>
        <v>5.6695315689415443E-3</v>
      </c>
      <c r="J22" s="89">
        <f t="shared" si="16"/>
        <v>5.6911313168855754E-3</v>
      </c>
      <c r="K22" s="89">
        <f t="shared" si="16"/>
        <v>7.5521755092740495E-3</v>
      </c>
      <c r="L22" s="89">
        <f t="shared" si="16"/>
        <v>7.2381589050168216E-3</v>
      </c>
      <c r="M22" s="89">
        <f t="shared" ref="M22:N22" si="17">M24+M26+M28+M30+M32</f>
        <v>3.6130985088703629E-3</v>
      </c>
      <c r="N22" s="89">
        <f t="shared" si="17"/>
        <v>4.5268397874545403E-3</v>
      </c>
      <c r="O22" s="123">
        <f>O24+O26+O28+O30+O32</f>
        <v>5.3808960000251593E-2</v>
      </c>
    </row>
    <row r="23" spans="1:15" ht="12.75" customHeight="1" x14ac:dyDescent="0.3">
      <c r="A23" s="428"/>
      <c r="B23" s="79" t="s">
        <v>35</v>
      </c>
      <c r="C23" s="92">
        <f t="shared" ref="C23:O23" si="18">C22/C20</f>
        <v>0.53136729892856682</v>
      </c>
      <c r="D23" s="92">
        <f t="shared" si="18"/>
        <v>0.27568364946428342</v>
      </c>
      <c r="E23" s="92">
        <f t="shared" si="18"/>
        <v>0.36091153261904468</v>
      </c>
      <c r="F23" s="92">
        <f t="shared" si="18"/>
        <v>0.40110397195193204</v>
      </c>
      <c r="G23" s="92">
        <f t="shared" si="18"/>
        <v>0.28677278036635262</v>
      </c>
      <c r="H23" s="92">
        <f t="shared" si="18"/>
        <v>0.35346597545794106</v>
      </c>
      <c r="I23" s="92">
        <f t="shared" si="18"/>
        <v>0.74994678954225558</v>
      </c>
      <c r="J23" s="92">
        <f t="shared" si="18"/>
        <v>0.65870344084947197</v>
      </c>
      <c r="K23" s="92">
        <f t="shared" si="18"/>
        <v>0.77698185582159685</v>
      </c>
      <c r="L23" s="92">
        <f t="shared" si="18"/>
        <v>-1.2102034968146402</v>
      </c>
      <c r="M23" s="92">
        <f t="shared" si="18"/>
        <v>-1.0983668152860371</v>
      </c>
      <c r="N23" s="92">
        <f t="shared" si="18"/>
        <v>-1.2614619758485854</v>
      </c>
      <c r="O23" s="116">
        <f t="shared" si="18"/>
        <v>0.77714065622994599</v>
      </c>
    </row>
    <row r="24" spans="1:15" ht="12.75" customHeight="1" x14ac:dyDescent="0.3">
      <c r="A24" s="428"/>
      <c r="B24" s="96" t="s">
        <v>36</v>
      </c>
      <c r="C24" s="87">
        <f>C$20*C25</f>
        <v>0</v>
      </c>
      <c r="D24" s="87">
        <f t="shared" ref="D24" si="19">D$20*D25</f>
        <v>0</v>
      </c>
      <c r="E24" s="87">
        <f t="shared" ref="E24" si="20">E$20*E25</f>
        <v>0</v>
      </c>
      <c r="F24" s="87">
        <f t="shared" ref="F24" si="21">F$20*F25</f>
        <v>0</v>
      </c>
      <c r="G24" s="87">
        <f t="shared" ref="G24" si="22">G$20*G25</f>
        <v>0</v>
      </c>
      <c r="H24" s="87">
        <f t="shared" ref="H24" si="23">H$20*H25</f>
        <v>0</v>
      </c>
      <c r="I24" s="87">
        <f t="shared" ref="I24" si="24">I$20*I25</f>
        <v>0</v>
      </c>
      <c r="J24" s="87">
        <f t="shared" ref="J24" si="25">J$20*J25</f>
        <v>0</v>
      </c>
      <c r="K24" s="87">
        <f t="shared" ref="K24" si="26">K$20*K25</f>
        <v>0</v>
      </c>
      <c r="L24" s="87">
        <f t="shared" ref="L24" si="27">L$20*L25</f>
        <v>0</v>
      </c>
      <c r="M24" s="87">
        <f t="shared" ref="M24" si="28">M$20*M25</f>
        <v>0</v>
      </c>
      <c r="N24" s="87">
        <f t="shared" ref="N24" si="29">N$20*N25</f>
        <v>0</v>
      </c>
      <c r="O24" s="115">
        <f>SUM(C24:N24)</f>
        <v>0</v>
      </c>
    </row>
    <row r="25" spans="1:15" ht="12.75" customHeight="1" x14ac:dyDescent="0.3">
      <c r="A25" s="428"/>
      <c r="B25" s="79" t="s">
        <v>64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117">
        <f>O24/O$20</f>
        <v>0</v>
      </c>
    </row>
    <row r="26" spans="1:15" ht="12.75" customHeight="1" x14ac:dyDescent="0.3">
      <c r="A26" s="428"/>
      <c r="B26" s="96" t="s">
        <v>38</v>
      </c>
      <c r="C26" s="87">
        <f>C$20*C27</f>
        <v>1.7985550193554688E-5</v>
      </c>
      <c r="D26" s="87">
        <f t="shared" ref="D26:N26" si="30">D$20*D27</f>
        <v>3.5971100387109377E-5</v>
      </c>
      <c r="E26" s="87">
        <f t="shared" si="30"/>
        <v>1.079133011613281E-4</v>
      </c>
      <c r="F26" s="87">
        <f t="shared" si="30"/>
        <v>9.653242053727272E-5</v>
      </c>
      <c r="G26" s="87">
        <f t="shared" si="30"/>
        <v>1.3790345791038952E-4</v>
      </c>
      <c r="H26" s="87">
        <f t="shared" si="30"/>
        <v>1.6548414949246726E-4</v>
      </c>
      <c r="I26" s="87">
        <f t="shared" si="30"/>
        <v>7.5599117804105168E-5</v>
      </c>
      <c r="J26" s="87">
        <f t="shared" si="30"/>
        <v>8.6398991776120426E-5</v>
      </c>
      <c r="K26" s="87">
        <f t="shared" si="30"/>
        <v>9.7198865748135413E-5</v>
      </c>
      <c r="L26" s="87">
        <f t="shared" si="30"/>
        <v>-5.9809436380478813E-5</v>
      </c>
      <c r="M26" s="87">
        <f t="shared" si="30"/>
        <v>-3.2895190009263331E-5</v>
      </c>
      <c r="N26" s="87">
        <f t="shared" si="30"/>
        <v>-3.5885661828287255E-5</v>
      </c>
      <c r="O26" s="115">
        <f>SUM(C26:N26)</f>
        <v>6.9239666679245335E-4</v>
      </c>
    </row>
    <row r="27" spans="1:15" ht="12.75" customHeight="1" x14ac:dyDescent="0.3">
      <c r="A27" s="428"/>
      <c r="B27" s="79" t="s">
        <v>65</v>
      </c>
      <c r="C27" s="86">
        <v>0.01</v>
      </c>
      <c r="D27" s="86">
        <v>0.01</v>
      </c>
      <c r="E27" s="86">
        <v>0.01</v>
      </c>
      <c r="F27" s="86">
        <v>0.01</v>
      </c>
      <c r="G27" s="86">
        <v>0.01</v>
      </c>
      <c r="H27" s="86">
        <v>0.01</v>
      </c>
      <c r="I27" s="86">
        <v>0.01</v>
      </c>
      <c r="J27" s="86">
        <v>0.01</v>
      </c>
      <c r="K27" s="86">
        <v>0.01</v>
      </c>
      <c r="L27" s="86">
        <v>0.01</v>
      </c>
      <c r="M27" s="86">
        <v>0.01</v>
      </c>
      <c r="N27" s="86">
        <v>0.01</v>
      </c>
      <c r="O27" s="117">
        <f>O26/O$20</f>
        <v>9.9999999999999725E-3</v>
      </c>
    </row>
    <row r="28" spans="1:15" ht="12.75" customHeight="1" x14ac:dyDescent="0.3">
      <c r="A28" s="428"/>
      <c r="B28" s="96" t="s">
        <v>40</v>
      </c>
      <c r="C28" s="87">
        <f>C$20*C29</f>
        <v>1.7985550193554688E-5</v>
      </c>
      <c r="D28" s="87">
        <f t="shared" ref="D28:N28" si="31">D$20*D29</f>
        <v>3.5971100387109377E-5</v>
      </c>
      <c r="E28" s="87">
        <f t="shared" si="31"/>
        <v>1.079133011613281E-4</v>
      </c>
      <c r="F28" s="87">
        <f t="shared" si="31"/>
        <v>9.653242053727272E-5</v>
      </c>
      <c r="G28" s="87">
        <f t="shared" si="31"/>
        <v>1.3790345791038952E-4</v>
      </c>
      <c r="H28" s="87">
        <f t="shared" si="31"/>
        <v>1.6548414949246726E-4</v>
      </c>
      <c r="I28" s="87">
        <f t="shared" si="31"/>
        <v>7.5599117804105168E-5</v>
      </c>
      <c r="J28" s="87">
        <f t="shared" si="31"/>
        <v>8.6398991776120426E-5</v>
      </c>
      <c r="K28" s="87">
        <f t="shared" si="31"/>
        <v>9.7198865748135413E-5</v>
      </c>
      <c r="L28" s="87">
        <f t="shared" si="31"/>
        <v>-5.9809436380478813E-5</v>
      </c>
      <c r="M28" s="87">
        <f t="shared" si="31"/>
        <v>-3.2895190009263331E-5</v>
      </c>
      <c r="N28" s="87">
        <f t="shared" si="31"/>
        <v>-3.5885661828287255E-5</v>
      </c>
      <c r="O28" s="216">
        <f>SUM(C28:N28)</f>
        <v>6.9239666679245335E-4</v>
      </c>
    </row>
    <row r="29" spans="1:15" ht="12.75" customHeight="1" x14ac:dyDescent="0.3">
      <c r="A29" s="428"/>
      <c r="B29" s="79" t="s">
        <v>66</v>
      </c>
      <c r="C29" s="86">
        <v>0.01</v>
      </c>
      <c r="D29" s="86">
        <v>0.01</v>
      </c>
      <c r="E29" s="86">
        <v>0.01</v>
      </c>
      <c r="F29" s="86">
        <v>0.01</v>
      </c>
      <c r="G29" s="86">
        <v>0.01</v>
      </c>
      <c r="H29" s="86">
        <v>0.01</v>
      </c>
      <c r="I29" s="86">
        <v>0.01</v>
      </c>
      <c r="J29" s="86">
        <v>0.01</v>
      </c>
      <c r="K29" s="86">
        <v>0.01</v>
      </c>
      <c r="L29" s="86">
        <v>0.01</v>
      </c>
      <c r="M29" s="86">
        <v>0.01</v>
      </c>
      <c r="N29" s="86">
        <v>0.01</v>
      </c>
      <c r="O29" s="117">
        <f>O28/O$20</f>
        <v>9.9999999999999725E-3</v>
      </c>
    </row>
    <row r="30" spans="1:15" ht="12.75" customHeight="1" x14ac:dyDescent="0.3">
      <c r="A30" s="428"/>
      <c r="B30" s="96" t="s">
        <v>42</v>
      </c>
      <c r="C30" s="87">
        <f>C$20*C31</f>
        <v>0</v>
      </c>
      <c r="D30" s="87">
        <f t="shared" ref="D30" si="32">D$20*D31</f>
        <v>0</v>
      </c>
      <c r="E30" s="87">
        <f t="shared" ref="E30" si="33">E$20*E31</f>
        <v>0</v>
      </c>
      <c r="F30" s="87">
        <f t="shared" ref="F30" si="34">F$20*F31</f>
        <v>0</v>
      </c>
      <c r="G30" s="87">
        <f t="shared" ref="G30" si="35">G$20*G31</f>
        <v>0</v>
      </c>
      <c r="H30" s="87">
        <f t="shared" ref="H30" si="36">H$20*H31</f>
        <v>0</v>
      </c>
      <c r="I30" s="87">
        <f t="shared" ref="I30" si="37">I$20*I31</f>
        <v>0</v>
      </c>
      <c r="J30" s="87">
        <f t="shared" ref="J30" si="38">J$20*J31</f>
        <v>0</v>
      </c>
      <c r="K30" s="87">
        <f t="shared" ref="K30" si="39">K$20*K31</f>
        <v>0</v>
      </c>
      <c r="L30" s="87">
        <f t="shared" ref="L30" si="40">L$20*L31</f>
        <v>0</v>
      </c>
      <c r="M30" s="87">
        <f t="shared" ref="M30" si="41">M$20*M31</f>
        <v>0</v>
      </c>
      <c r="N30" s="87">
        <f t="shared" ref="N30" si="42">N$20*N31</f>
        <v>0</v>
      </c>
      <c r="O30" s="115">
        <f>SUM(C30:N30)</f>
        <v>0</v>
      </c>
    </row>
    <row r="31" spans="1:15" ht="12.75" customHeight="1" x14ac:dyDescent="0.3">
      <c r="A31" s="428"/>
      <c r="B31" s="79" t="s">
        <v>67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117">
        <f>O30/O$20</f>
        <v>0</v>
      </c>
    </row>
    <row r="32" spans="1:15" ht="12.75" customHeight="1" x14ac:dyDescent="0.3">
      <c r="A32" s="428"/>
      <c r="B32" s="96" t="s">
        <v>44</v>
      </c>
      <c r="C32" s="87">
        <f>'原版-2020-2021年垫资资金成本1'!$C$16*'原版-2019年新房垫佣测算--分摊至2021年垫资资金成本'!C6*C8/100000000*C9</f>
        <v>9.1972222222222238E-4</v>
      </c>
      <c r="D32" s="87">
        <f>'原版-2020-2021年垫资资金成本1'!$C$16*'原版-2019年新房垫佣测算--分摊至2021年垫资资金成本'!D6*D8/100000000*D9</f>
        <v>9.1972222222222238E-4</v>
      </c>
      <c r="E32" s="87">
        <f>'原版-2020-2021年垫资资金成本1'!$C$16*'原版-2019年新房垫佣测算--分摊至2021年垫资资金成本'!E6*E8/100000000*E9</f>
        <v>3.6788888888888895E-3</v>
      </c>
      <c r="F32" s="87">
        <f>'原版-2020-2021年垫资资金成本1'!$C$16*'原版-2019年新房垫佣测算--分摊至2021年垫资资金成本'!F6*F8/100000000*F9</f>
        <v>3.6788888888888895E-3</v>
      </c>
      <c r="G32" s="87">
        <f>'原版-2020-2021年垫资资金成本1'!$C$16*'原版-2019年新房垫佣测算--分摊至2021年垫资资金成本'!G6*G8/100000000*G9</f>
        <v>3.6788888888888895E-3</v>
      </c>
      <c r="H32" s="87">
        <f>'原版-2020-2021年垫资资金成本1'!$C$16*'原版-2019年新房垫佣测算--分摊至2021年垫资资金成本'!H6*H8/100000000*H9</f>
        <v>5.5183333333333343E-3</v>
      </c>
      <c r="I32" s="87">
        <f>'原版-2020-2021年垫资资金成本1'!$C$16*'原版-2019年新房垫佣测算--分摊至2021年垫资资金成本'!I6*I8/100000000*I9</f>
        <v>5.5183333333333343E-3</v>
      </c>
      <c r="J32" s="87">
        <f>'原版-2020-2021年垫资资金成本1'!$C$16*'原版-2019年新房垫佣测算--分摊至2021年垫资资金成本'!J6*J8/100000000*J9</f>
        <v>5.5183333333333343E-3</v>
      </c>
      <c r="K32" s="87">
        <f>'原版-2020-2021年垫资资金成本1'!$C$16*'原版-2019年新房垫佣测算--分摊至2021年垫资资金成本'!K6*K8/100000000*K9</f>
        <v>7.3577777777777791E-3</v>
      </c>
      <c r="L32" s="87">
        <f>'原版-2020-2021年垫资资金成本1'!$C$16*'原版-2019年新房垫佣测算--分摊至2021年垫资资金成本'!L6*L8/100000000*L9</f>
        <v>7.3577777777777791E-3</v>
      </c>
      <c r="M32" s="87">
        <f>'原版-2020-2021年垫资资金成本1'!$C$16*'原版-2019年新房垫佣测算--分摊至2021年垫资资金成本'!M6*M8/100000000*M9</f>
        <v>3.6788888888888895E-3</v>
      </c>
      <c r="N32" s="87">
        <f>'原版-2020-2021年垫资资金成本1'!$C$16*'原版-2019年新房垫佣测算--分摊至2021年垫资资金成本'!N6*N8/100000000*N9</f>
        <v>4.5986111111111149E-3</v>
      </c>
      <c r="O32" s="115">
        <f>SUM(C32:N32)</f>
        <v>5.2424166666666688E-2</v>
      </c>
    </row>
    <row r="33" spans="1:15" ht="12.75" customHeight="1" x14ac:dyDescent="0.3">
      <c r="A33" s="428"/>
      <c r="B33" s="80" t="s">
        <v>68</v>
      </c>
      <c r="C33" s="199">
        <f>C32/C20</f>
        <v>0.5113672989285668</v>
      </c>
      <c r="D33" s="199">
        <f t="shared" ref="D33:N33" si="43">D32/D20</f>
        <v>0.2556836494642834</v>
      </c>
      <c r="E33" s="199">
        <f t="shared" si="43"/>
        <v>0.34091153261904467</v>
      </c>
      <c r="F33" s="199">
        <f t="shared" si="43"/>
        <v>0.38110397195193207</v>
      </c>
      <c r="G33" s="199">
        <f t="shared" si="43"/>
        <v>0.2667727803663526</v>
      </c>
      <c r="H33" s="199">
        <f t="shared" si="43"/>
        <v>0.3334659754579411</v>
      </c>
      <c r="I33" s="199">
        <f t="shared" si="43"/>
        <v>0.72994678954225567</v>
      </c>
      <c r="J33" s="199">
        <f t="shared" si="43"/>
        <v>0.63870344084947195</v>
      </c>
      <c r="K33" s="199">
        <f t="shared" si="43"/>
        <v>0.75698185582159683</v>
      </c>
      <c r="L33" s="199">
        <f t="shared" si="43"/>
        <v>-1.2302034968146403</v>
      </c>
      <c r="M33" s="199">
        <f t="shared" si="43"/>
        <v>-1.1183668152860371</v>
      </c>
      <c r="N33" s="199">
        <f t="shared" si="43"/>
        <v>-1.2814619758485855</v>
      </c>
      <c r="O33" s="203">
        <f>O32/O$20</f>
        <v>0.75714065622994609</v>
      </c>
    </row>
    <row r="34" spans="1:15" s="100" customFormat="1" ht="12.75" customHeight="1" x14ac:dyDescent="0.3">
      <c r="A34" s="428"/>
      <c r="B34" s="121" t="s">
        <v>70</v>
      </c>
      <c r="C34" s="89">
        <f t="shared" ref="C34:N34" si="44">C20-C22</f>
        <v>8.4286169674613711E-4</v>
      </c>
      <c r="D34" s="89">
        <f t="shared" si="44"/>
        <v>2.6054456157144964E-3</v>
      </c>
      <c r="E34" s="89">
        <f t="shared" si="44"/>
        <v>6.8966146249212646E-3</v>
      </c>
      <c r="F34" s="89">
        <f t="shared" si="44"/>
        <v>5.7812883237638377E-3</v>
      </c>
      <c r="G34" s="89">
        <f t="shared" si="44"/>
        <v>9.835649986329284E-3</v>
      </c>
      <c r="H34" s="89">
        <f t="shared" si="44"/>
        <v>1.0699113316928459E-2</v>
      </c>
      <c r="I34" s="89">
        <f t="shared" si="44"/>
        <v>1.8903802114689722E-3</v>
      </c>
      <c r="J34" s="89">
        <f t="shared" si="44"/>
        <v>2.9487678607264672E-3</v>
      </c>
      <c r="K34" s="89">
        <f t="shared" si="44"/>
        <v>2.1677110655394915E-3</v>
      </c>
      <c r="L34" s="89">
        <f t="shared" si="44"/>
        <v>-1.3219102543064703E-2</v>
      </c>
      <c r="M34" s="89">
        <f t="shared" si="44"/>
        <v>-6.902617509796696E-3</v>
      </c>
      <c r="N34" s="89">
        <f t="shared" si="44"/>
        <v>-8.1154059702832661E-3</v>
      </c>
      <c r="O34" s="123">
        <f>SUM(C34:N34)</f>
        <v>1.5430706678993749E-2</v>
      </c>
    </row>
    <row r="35" spans="1:15" ht="12.75" customHeight="1" thickBot="1" x14ac:dyDescent="0.35">
      <c r="A35" s="429"/>
      <c r="B35" s="205" t="s">
        <v>57</v>
      </c>
      <c r="C35" s="206">
        <f t="shared" ref="C35:O35" si="45">C34/C14</f>
        <v>5.2270492821465869E-2</v>
      </c>
      <c r="D35" s="206">
        <f t="shared" si="45"/>
        <v>8.0789011339984382E-2</v>
      </c>
      <c r="E35" s="206">
        <f t="shared" si="45"/>
        <v>7.1282838500478202E-2</v>
      </c>
      <c r="F35" s="206">
        <f t="shared" si="45"/>
        <v>5.1218501207210082E-2</v>
      </c>
      <c r="G35" s="206">
        <f t="shared" si="45"/>
        <v>6.0996278984987815E-2</v>
      </c>
      <c r="H35" s="206">
        <f t="shared" si="45"/>
        <v>5.5292575281284034E-2</v>
      </c>
      <c r="I35" s="206">
        <f t="shared" si="45"/>
        <v>8.3737772379577965E-3</v>
      </c>
      <c r="J35" s="206">
        <f t="shared" si="45"/>
        <v>1.1429332793513439E-2</v>
      </c>
      <c r="K35" s="206">
        <f t="shared" si="45"/>
        <v>7.4684274437191783E-3</v>
      </c>
      <c r="L35" s="206">
        <f t="shared" si="45"/>
        <v>-4.0989465249813034E-2</v>
      </c>
      <c r="M35" s="206">
        <f t="shared" si="45"/>
        <v>-3.8915391175738952E-2</v>
      </c>
      <c r="N35" s="206">
        <f t="shared" si="45"/>
        <v>-4.1940082533763613E-2</v>
      </c>
      <c r="O35" s="207">
        <f t="shared" si="45"/>
        <v>7.4181631772099023E-3</v>
      </c>
    </row>
    <row r="36" spans="1:15" s="101" customFormat="1" ht="12.75" customHeight="1" x14ac:dyDescent="0.3">
      <c r="A36" s="427" t="s">
        <v>78</v>
      </c>
      <c r="B36" s="82" t="s">
        <v>54</v>
      </c>
      <c r="C36" s="90">
        <f>C14</f>
        <v>1.6125E-2</v>
      </c>
      <c r="D36" s="90">
        <f t="shared" ref="D36:O36" si="46">D14</f>
        <v>3.2250000000000001E-2</v>
      </c>
      <c r="E36" s="90">
        <f t="shared" si="46"/>
        <v>9.6749999999999989E-2</v>
      </c>
      <c r="F36" s="90">
        <f t="shared" si="46"/>
        <v>0.11287499999999999</v>
      </c>
      <c r="G36" s="90">
        <f t="shared" si="46"/>
        <v>0.16124999999999998</v>
      </c>
      <c r="H36" s="90">
        <f t="shared" si="46"/>
        <v>0.19349999999999998</v>
      </c>
      <c r="I36" s="90">
        <f t="shared" si="46"/>
        <v>0.22574999999999998</v>
      </c>
      <c r="J36" s="90">
        <f t="shared" si="46"/>
        <v>0.25800000000000001</v>
      </c>
      <c r="K36" s="90">
        <f t="shared" si="46"/>
        <v>0.29025000000000001</v>
      </c>
      <c r="L36" s="90">
        <f t="shared" si="46"/>
        <v>0.32249999999999995</v>
      </c>
      <c r="M36" s="90">
        <f t="shared" si="46"/>
        <v>0.17737499999999998</v>
      </c>
      <c r="N36" s="90">
        <f t="shared" si="46"/>
        <v>0.19350000000000017</v>
      </c>
      <c r="O36" s="90">
        <f t="shared" si="46"/>
        <v>2.0801250000000002</v>
      </c>
    </row>
    <row r="37" spans="1:15" s="83" customFormat="1" ht="12.75" customHeight="1" x14ac:dyDescent="0.3">
      <c r="A37" s="428"/>
      <c r="B37" s="96" t="s">
        <v>72</v>
      </c>
      <c r="C37" s="95">
        <f>C13*C38*(C5-1)/12+'原版-2020-2021年垫资资金成本1'!$AA$22*'原版-2019年新房垫佣测算--分摊至2021年垫资资金成本'!C36/'原版-2019年新房垫佣测算--分摊至2021年垫资资金成本'!$O$36</f>
        <v>8.7190103359173119E-4</v>
      </c>
      <c r="D37" s="95">
        <f>D13*D38*(D5-1)/12+'原版-2020-2021年垫资资金成本1'!$AA$22*'原版-2019年新房垫佣测算--分摊至2021年垫资资金成本'!D36/'原版-2019年新房垫佣测算--分摊至2021年垫资资金成本'!$O$36</f>
        <v>1.0254218733850129E-2</v>
      </c>
      <c r="E37" s="95">
        <f>E13*E38*(E5-1)/12+'原版-2020-2021年垫资资金成本1'!$AA$22*'原版-2019年新房垫佣测算--分摊至2021年垫资资金成本'!E36/'原版-2019年新房垫佣测算--分摊至2021年垫资资金成本'!$O$36</f>
        <v>3.9273072868217053E-2</v>
      </c>
      <c r="F37" s="95">
        <f>F13*F38*(F5-1)/12+'原版-2020-2021年垫资资金成本1'!$AA$22*'原版-2019年新房垫佣测算--分摊至2021年垫资资金成本'!F36/'原版-2019年新房垫佣测算--分摊至2021年垫资资金成本'!$O$36</f>
        <v>5.0894973901808784E-2</v>
      </c>
      <c r="G37" s="95">
        <f>G13*G38*(G5-1)/12+'原版-2020-2021年垫资资金成本1'!$AA$22*'原版-2019年新房垫佣测算--分摊至2021年垫资资金成本'!G36/'原版-2019年新房垫佣测算--分摊至2021年垫资资金成本'!$O$36</f>
        <v>8.0385677002583977E-2</v>
      </c>
      <c r="H37" s="95">
        <f>H13*H38*(H5-1)/12+'原版-2020-2021年垫资资金成本1'!$AA$22*'原版-2019年新房垫佣测算--分摊至2021年垫资资金成本'!H36/'原版-2019年新房垫佣测算--分摊至2021年垫资资金成本'!$O$36</f>
        <v>0.10004614573643411</v>
      </c>
      <c r="I37" s="95">
        <f>I13*I38*(I5-1)/12+'原版-2020-2021年垫资资金成本1'!$AA$22*'原版-2019年新房垫佣测算--分摊至2021年垫资资金成本'!I36/'原版-2019年新房垫佣测算--分摊至2021年垫资资金成本'!$O$36</f>
        <v>0.13045661447028425</v>
      </c>
      <c r="J37" s="95">
        <f>J13*J38*(J5-1)/12+'原版-2020-2021年垫资资金成本1'!$AA$22*'原版-2019年新房垫佣测算--分摊至2021年垫资资金成本'!J36/'原版-2019年新房垫佣测算--分摊至2021年垫资资金成本'!$O$36</f>
        <v>0.15190874987080102</v>
      </c>
      <c r="K37" s="95">
        <f>K13*K38*(K5-1)/12+'原版-2020-2021年垫资资金成本1'!$AA$22*'原版-2019年新房垫佣测算--分摊至2021年垫资资金成本'!K36/'原版-2019年新房垫佣测算--分摊至2021年垫资资金成本'!$O$36</f>
        <v>0.17336088527131782</v>
      </c>
      <c r="L37" s="95">
        <f>L13*L38*(L5-1)/12+'原版-2020-2021年垫资资金成本1'!$AA$22*'原版-2019年新房垫佣测算--分摊至2021年垫资资金成本'!L36/'原版-2019年新房垫佣测算--分摊至2021年垫资资金成本'!$O$36</f>
        <v>0.21093802067183462</v>
      </c>
      <c r="M37" s="95">
        <f>M13*M38*(M5-1)/12+'原版-2020-2021年垫资资金成本1'!$AA$22*'原版-2019年新房垫佣测算--分摊至2021年垫资资金成本'!M36/'原版-2019年新房垫佣测算--分摊至2021年垫资资金成本'!$O$36</f>
        <v>0.11709091136950904</v>
      </c>
      <c r="N37" s="95">
        <f>N13*N38*(N5-1)/12+'原版-2020-2021年垫资资金成本1'!$AA$22*'原版-2019年新房垫佣测算--分摊至2021年垫资资金成本'!N36/'原版-2019年新房垫佣测算--分摊至2021年垫资资金成本'!$O$36</f>
        <v>0.1287128124031009</v>
      </c>
      <c r="O37" s="111">
        <f>SUM(C37:N37)</f>
        <v>1.1941939833333335</v>
      </c>
    </row>
    <row r="38" spans="1:15" ht="12.75" customHeight="1" x14ac:dyDescent="0.3">
      <c r="A38" s="428"/>
      <c r="B38" s="79" t="s">
        <v>28</v>
      </c>
      <c r="C38" s="105">
        <f>C16</f>
        <v>9.5000000000000001E-2</v>
      </c>
      <c r="D38" s="105">
        <f t="shared" ref="D38:N38" si="47">D16</f>
        <v>9.5000000000000001E-2</v>
      </c>
      <c r="E38" s="105">
        <f t="shared" si="47"/>
        <v>9.5000000000000001E-2</v>
      </c>
      <c r="F38" s="105">
        <f t="shared" si="47"/>
        <v>0.1</v>
      </c>
      <c r="G38" s="105">
        <f t="shared" si="47"/>
        <v>0.1</v>
      </c>
      <c r="H38" s="105">
        <f t="shared" si="47"/>
        <v>0.1</v>
      </c>
      <c r="I38" s="105">
        <f t="shared" si="47"/>
        <v>0.11</v>
      </c>
      <c r="J38" s="105">
        <f t="shared" si="47"/>
        <v>0.11</v>
      </c>
      <c r="K38" s="105">
        <f t="shared" si="47"/>
        <v>0.11</v>
      </c>
      <c r="L38" s="105">
        <f t="shared" si="47"/>
        <v>0.12</v>
      </c>
      <c r="M38" s="105">
        <f t="shared" si="47"/>
        <v>0.12</v>
      </c>
      <c r="N38" s="105">
        <f t="shared" si="47"/>
        <v>0.12</v>
      </c>
      <c r="O38" s="105"/>
    </row>
    <row r="39" spans="1:15" ht="12.75" customHeight="1" x14ac:dyDescent="0.3">
      <c r="A39" s="428"/>
      <c r="B39" s="96" t="s">
        <v>60</v>
      </c>
      <c r="C39" s="87">
        <f t="shared" ref="C39:N39" si="48">(C36-C37)/1.06*0.06*(1+12%)</f>
        <v>9.6698891560626009E-4</v>
      </c>
      <c r="D39" s="87">
        <f t="shared" si="48"/>
        <v>1.3944495293257279E-3</v>
      </c>
      <c r="E39" s="87">
        <f t="shared" si="48"/>
        <v>3.64382028609039E-3</v>
      </c>
      <c r="F39" s="87">
        <f t="shared" si="48"/>
        <v>3.9292997677343863E-3</v>
      </c>
      <c r="G39" s="87">
        <f t="shared" si="48"/>
        <v>5.1264929296475055E-3</v>
      </c>
      <c r="H39" s="87">
        <f t="shared" si="48"/>
        <v>5.9246217042562502E-3</v>
      </c>
      <c r="I39" s="87">
        <f t="shared" si="48"/>
        <v>6.0412410449027336E-3</v>
      </c>
      <c r="J39" s="87">
        <f t="shared" si="48"/>
        <v>6.7257849138511053E-3</v>
      </c>
      <c r="K39" s="87">
        <f t="shared" si="48"/>
        <v>7.4103287827994744E-3</v>
      </c>
      <c r="L39" s="87">
        <f t="shared" si="48"/>
        <v>7.0726085008044441E-3</v>
      </c>
      <c r="M39" s="87">
        <f t="shared" si="48"/>
        <v>3.821783732046218E-3</v>
      </c>
      <c r="N39" s="87">
        <f t="shared" si="48"/>
        <v>4.1072632136902182E-3</v>
      </c>
      <c r="O39" s="108">
        <f>SUM(C39:N39)</f>
        <v>5.6164683320754714E-2</v>
      </c>
    </row>
    <row r="40" spans="1:15" s="98" customFormat="1" ht="12.75" customHeight="1" x14ac:dyDescent="0.3">
      <c r="A40" s="428"/>
      <c r="B40" s="96" t="s">
        <v>61</v>
      </c>
      <c r="C40" s="95">
        <f>C18</f>
        <v>4.5166666666666662E-3</v>
      </c>
      <c r="D40" s="95">
        <f t="shared" ref="D40:O40" si="49">D18</f>
        <v>9.0333333333333325E-3</v>
      </c>
      <c r="E40" s="95">
        <f t="shared" si="49"/>
        <v>2.7099999999999996E-2</v>
      </c>
      <c r="F40" s="95">
        <f t="shared" si="49"/>
        <v>3.1616666666666661E-2</v>
      </c>
      <c r="G40" s="95">
        <f t="shared" si="49"/>
        <v>4.5166666666666654E-2</v>
      </c>
      <c r="H40" s="95">
        <f t="shared" si="49"/>
        <v>5.4199999999999991E-2</v>
      </c>
      <c r="I40" s="95">
        <f t="shared" si="49"/>
        <v>6.3233333333333322E-2</v>
      </c>
      <c r="J40" s="95">
        <f t="shared" si="49"/>
        <v>7.226666666666666E-2</v>
      </c>
      <c r="K40" s="95">
        <f t="shared" si="49"/>
        <v>8.1299999999999997E-2</v>
      </c>
      <c r="L40" s="95">
        <f t="shared" si="49"/>
        <v>9.0333333333333307E-2</v>
      </c>
      <c r="M40" s="95">
        <f t="shared" si="49"/>
        <v>4.9683333333333322E-2</v>
      </c>
      <c r="N40" s="95">
        <f t="shared" si="49"/>
        <v>5.420000000000004E-2</v>
      </c>
      <c r="O40" s="95">
        <f t="shared" si="49"/>
        <v>0.58265</v>
      </c>
    </row>
    <row r="41" spans="1:15" s="98" customFormat="1" ht="12.75" customHeight="1" x14ac:dyDescent="0.3">
      <c r="A41" s="428"/>
      <c r="B41" s="80" t="s">
        <v>55</v>
      </c>
      <c r="C41" s="120">
        <f>C19</f>
        <v>4.2015503875968991E-3</v>
      </c>
      <c r="D41" s="120">
        <f t="shared" ref="D41:O41" si="50">D19</f>
        <v>8.4031007751937982E-3</v>
      </c>
      <c r="E41" s="120">
        <f t="shared" si="50"/>
        <v>1.2604651162790696E-2</v>
      </c>
      <c r="F41" s="120">
        <f t="shared" si="50"/>
        <v>1.4705426356589146E-2</v>
      </c>
      <c r="G41" s="120">
        <f t="shared" si="50"/>
        <v>2.100775193798449E-2</v>
      </c>
      <c r="H41" s="120">
        <f t="shared" si="50"/>
        <v>2.5209302325581391E-2</v>
      </c>
      <c r="I41" s="120">
        <f t="shared" si="50"/>
        <v>2.9410852713178292E-2</v>
      </c>
      <c r="J41" s="120">
        <f t="shared" si="50"/>
        <v>3.3612403100775193E-2</v>
      </c>
      <c r="K41" s="120">
        <f t="shared" si="50"/>
        <v>3.781395348837209E-2</v>
      </c>
      <c r="L41" s="120">
        <f t="shared" si="50"/>
        <v>4.2015503875968981E-2</v>
      </c>
      <c r="M41" s="120">
        <f t="shared" si="50"/>
        <v>4.6217054263565885E-2</v>
      </c>
      <c r="N41" s="120">
        <f t="shared" si="50"/>
        <v>5.0418604651162775E-2</v>
      </c>
      <c r="O41" s="120">
        <f t="shared" si="50"/>
        <v>2.7099999999999999E-2</v>
      </c>
    </row>
    <row r="42" spans="1:15" s="101" customFormat="1" ht="12.75" customHeight="1" x14ac:dyDescent="0.3">
      <c r="A42" s="428"/>
      <c r="B42" s="124" t="s">
        <v>62</v>
      </c>
      <c r="C42" s="90">
        <f t="shared" ref="C42:N42" si="51">C36-C37-C39-C40</f>
        <v>9.7694433841353442E-3</v>
      </c>
      <c r="D42" s="90">
        <f t="shared" si="51"/>
        <v>1.1567998403490811E-2</v>
      </c>
      <c r="E42" s="90">
        <f t="shared" si="51"/>
        <v>2.6733106845692554E-2</v>
      </c>
      <c r="F42" s="90">
        <f t="shared" si="51"/>
        <v>2.6434059663790158E-2</v>
      </c>
      <c r="G42" s="90">
        <f t="shared" si="51"/>
        <v>3.0571163401101838E-2</v>
      </c>
      <c r="H42" s="90">
        <f t="shared" si="51"/>
        <v>3.332923255930962E-2</v>
      </c>
      <c r="I42" s="90">
        <f t="shared" si="51"/>
        <v>2.6018811151479665E-2</v>
      </c>
      <c r="J42" s="90">
        <f t="shared" si="51"/>
        <v>2.7098798548681219E-2</v>
      </c>
      <c r="K42" s="90">
        <f t="shared" si="51"/>
        <v>2.8178785945882717E-2</v>
      </c>
      <c r="L42" s="90">
        <f t="shared" si="51"/>
        <v>1.4156037494027579E-2</v>
      </c>
      <c r="M42" s="90">
        <f t="shared" si="51"/>
        <v>6.7789715651113969E-3</v>
      </c>
      <c r="N42" s="90">
        <f t="shared" si="51"/>
        <v>6.4799243832090181E-3</v>
      </c>
      <c r="O42" s="110">
        <f>SUM(C42:N42)</f>
        <v>0.2471163333459119</v>
      </c>
    </row>
    <row r="43" spans="1:15" s="83" customFormat="1" ht="12.75" customHeight="1" x14ac:dyDescent="0.3">
      <c r="A43" s="428"/>
      <c r="B43" s="202" t="s">
        <v>56</v>
      </c>
      <c r="C43" s="126">
        <f>C42/C13</f>
        <v>9.0878543108235763E-3</v>
      </c>
      <c r="D43" s="126">
        <f t="shared" ref="D43:O43" si="52">D42/D13</f>
        <v>1.0760928747433313E-2</v>
      </c>
      <c r="E43" s="126">
        <f t="shared" si="52"/>
        <v>1.2434003184043049E-2</v>
      </c>
      <c r="F43" s="126">
        <f t="shared" si="52"/>
        <v>1.2294911471530307E-2</v>
      </c>
      <c r="G43" s="126">
        <f t="shared" si="52"/>
        <v>1.4219145767954343E-2</v>
      </c>
      <c r="H43" s="126">
        <f t="shared" si="52"/>
        <v>1.5501968632237033E-2</v>
      </c>
      <c r="I43" s="126">
        <f t="shared" si="52"/>
        <v>1.2101772628595193E-2</v>
      </c>
      <c r="J43" s="126">
        <f t="shared" si="52"/>
        <v>1.2604092348223824E-2</v>
      </c>
      <c r="K43" s="126">
        <f t="shared" si="52"/>
        <v>1.3106412067852426E-2</v>
      </c>
      <c r="L43" s="126">
        <f t="shared" si="52"/>
        <v>6.5842034855942231E-3</v>
      </c>
      <c r="M43" s="126">
        <f t="shared" si="52"/>
        <v>6.3060200605687417E-3</v>
      </c>
      <c r="N43" s="126">
        <f t="shared" si="52"/>
        <v>6.0278366355432664E-3</v>
      </c>
      <c r="O43" s="127">
        <f t="shared" si="52"/>
        <v>1.1493782946321484E-2</v>
      </c>
    </row>
    <row r="44" spans="1:15" s="100" customFormat="1" ht="12.75" customHeight="1" collapsed="1" x14ac:dyDescent="0.3">
      <c r="A44" s="428"/>
      <c r="B44" s="121" t="s">
        <v>76</v>
      </c>
      <c r="C44" s="89">
        <f>C46+C48+C50+C52+C54</f>
        <v>1.1151110899049292E-3</v>
      </c>
      <c r="D44" s="89">
        <f t="shared" ref="D44:E44" si="53">D46+D48+D50+D52+D54</f>
        <v>1.1510821902920385E-3</v>
      </c>
      <c r="E44" s="89">
        <f t="shared" si="53"/>
        <v>4.2135510258027404E-3</v>
      </c>
      <c r="F44" s="89">
        <f>F46+F48+F50+F52+F54</f>
        <v>4.2075700821646925E-3</v>
      </c>
      <c r="G44" s="89">
        <f t="shared" ref="G44:N44" si="54">G46+G48+G50+G52+G54</f>
        <v>4.2903121569109262E-3</v>
      </c>
      <c r="H44" s="89">
        <f t="shared" si="54"/>
        <v>6.1849179845195265E-3</v>
      </c>
      <c r="I44" s="89">
        <f t="shared" si="54"/>
        <v>6.0387095563629277E-3</v>
      </c>
      <c r="J44" s="89">
        <f t="shared" si="54"/>
        <v>6.0603093043069588E-3</v>
      </c>
      <c r="K44" s="89">
        <f t="shared" si="54"/>
        <v>7.9213534966954338E-3</v>
      </c>
      <c r="L44" s="89">
        <f t="shared" si="54"/>
        <v>7.6408985276583304E-3</v>
      </c>
      <c r="M44" s="89">
        <f t="shared" si="54"/>
        <v>3.8144683201911177E-3</v>
      </c>
      <c r="N44" s="89">
        <f t="shared" si="54"/>
        <v>4.7282095987752955E-3</v>
      </c>
      <c r="O44" s="123">
        <f>SUM(C44:N44)</f>
        <v>5.7366493333584914E-2</v>
      </c>
    </row>
    <row r="45" spans="1:15" ht="12.75" customHeight="1" x14ac:dyDescent="0.3">
      <c r="A45" s="428"/>
      <c r="B45" s="79" t="s">
        <v>35</v>
      </c>
      <c r="C45" s="92">
        <f t="shared" ref="C45:O45" si="55">C44/C42</f>
        <v>0.11414274550336866</v>
      </c>
      <c r="D45" s="92">
        <f t="shared" si="55"/>
        <v>9.9505735576924242E-2</v>
      </c>
      <c r="E45" s="92">
        <f t="shared" si="55"/>
        <v>0.15761546348219008</v>
      </c>
      <c r="F45" s="92">
        <f t="shared" si="55"/>
        <v>0.15917230027018123</v>
      </c>
      <c r="G45" s="92">
        <f t="shared" si="55"/>
        <v>0.14033853081156525</v>
      </c>
      <c r="H45" s="92">
        <f t="shared" si="55"/>
        <v>0.18557036900004878</v>
      </c>
      <c r="I45" s="92">
        <f t="shared" si="55"/>
        <v>0.23209014129069891</v>
      </c>
      <c r="J45" s="92">
        <f t="shared" si="55"/>
        <v>0.2236375643525306</v>
      </c>
      <c r="K45" s="92">
        <f t="shared" si="55"/>
        <v>0.28111053158600841</v>
      </c>
      <c r="L45" s="92">
        <f t="shared" si="55"/>
        <v>0.53976252400306368</v>
      </c>
      <c r="M45" s="92">
        <f t="shared" si="55"/>
        <v>0.56269129963940712</v>
      </c>
      <c r="N45" s="92">
        <f t="shared" si="55"/>
        <v>0.72967048983274863</v>
      </c>
      <c r="O45" s="116">
        <f t="shared" si="55"/>
        <v>0.23214367321193477</v>
      </c>
    </row>
    <row r="46" spans="1:15" ht="12.75" customHeight="1" x14ac:dyDescent="0.3">
      <c r="A46" s="428"/>
      <c r="B46" s="96" t="s">
        <v>36</v>
      </c>
      <c r="C46" s="87">
        <f>C$42*C47</f>
        <v>0</v>
      </c>
      <c r="D46" s="87">
        <f t="shared" ref="D46:N46" si="56">D$42*D47</f>
        <v>0</v>
      </c>
      <c r="E46" s="87">
        <f t="shared" si="56"/>
        <v>0</v>
      </c>
      <c r="F46" s="87">
        <f t="shared" si="56"/>
        <v>0</v>
      </c>
      <c r="G46" s="87">
        <f t="shared" si="56"/>
        <v>0</v>
      </c>
      <c r="H46" s="87">
        <f t="shared" si="56"/>
        <v>0</v>
      </c>
      <c r="I46" s="87">
        <f t="shared" si="56"/>
        <v>0</v>
      </c>
      <c r="J46" s="87">
        <f t="shared" si="56"/>
        <v>0</v>
      </c>
      <c r="K46" s="87">
        <f t="shared" si="56"/>
        <v>0</v>
      </c>
      <c r="L46" s="87">
        <f t="shared" si="56"/>
        <v>0</v>
      </c>
      <c r="M46" s="87">
        <f t="shared" si="56"/>
        <v>0</v>
      </c>
      <c r="N46" s="87">
        <f t="shared" si="56"/>
        <v>0</v>
      </c>
      <c r="O46" s="115">
        <f>SUM(C46:N46)</f>
        <v>0</v>
      </c>
    </row>
    <row r="47" spans="1:15" ht="12.75" customHeight="1" x14ac:dyDescent="0.3">
      <c r="A47" s="428"/>
      <c r="B47" s="79" t="s">
        <v>64</v>
      </c>
      <c r="C47" s="105">
        <f>C25</f>
        <v>0</v>
      </c>
      <c r="D47" s="105">
        <f t="shared" ref="D47:O53" si="57">D25</f>
        <v>0</v>
      </c>
      <c r="E47" s="105">
        <f t="shared" si="57"/>
        <v>0</v>
      </c>
      <c r="F47" s="105">
        <f t="shared" si="57"/>
        <v>0</v>
      </c>
      <c r="G47" s="105">
        <f t="shared" si="57"/>
        <v>0</v>
      </c>
      <c r="H47" s="105">
        <f t="shared" si="57"/>
        <v>0</v>
      </c>
      <c r="I47" s="105">
        <f t="shared" si="57"/>
        <v>0</v>
      </c>
      <c r="J47" s="105">
        <f t="shared" si="57"/>
        <v>0</v>
      </c>
      <c r="K47" s="105">
        <f t="shared" si="57"/>
        <v>0</v>
      </c>
      <c r="L47" s="105">
        <f t="shared" si="57"/>
        <v>0</v>
      </c>
      <c r="M47" s="105">
        <f t="shared" si="57"/>
        <v>0</v>
      </c>
      <c r="N47" s="105">
        <f t="shared" si="57"/>
        <v>0</v>
      </c>
      <c r="O47" s="105">
        <f>O25</f>
        <v>0</v>
      </c>
    </row>
    <row r="48" spans="1:15" ht="12.75" customHeight="1" x14ac:dyDescent="0.3">
      <c r="A48" s="428"/>
      <c r="B48" s="96" t="s">
        <v>38</v>
      </c>
      <c r="C48" s="87">
        <f>C$42*C49</f>
        <v>9.7694433841353444E-5</v>
      </c>
      <c r="D48" s="87">
        <f t="shared" ref="D48" si="58">D$42*D49</f>
        <v>1.1567998403490811E-4</v>
      </c>
      <c r="E48" s="87">
        <f t="shared" ref="E48" si="59">E$42*E49</f>
        <v>2.6733106845692556E-4</v>
      </c>
      <c r="F48" s="87">
        <f t="shared" ref="F48" si="60">F$42*F49</f>
        <v>2.6434059663790158E-4</v>
      </c>
      <c r="G48" s="87">
        <f t="shared" ref="G48" si="61">G$42*G49</f>
        <v>3.057116340110184E-4</v>
      </c>
      <c r="H48" s="87">
        <f t="shared" ref="H48" si="62">H$42*H49</f>
        <v>3.3329232559309622E-4</v>
      </c>
      <c r="I48" s="87">
        <f t="shared" ref="I48" si="63">I$42*I49</f>
        <v>2.6018811151479665E-4</v>
      </c>
      <c r="J48" s="87">
        <f t="shared" ref="J48" si="64">J$42*J49</f>
        <v>2.709879854868122E-4</v>
      </c>
      <c r="K48" s="87">
        <f t="shared" ref="K48" si="65">K$42*K49</f>
        <v>2.8178785945882716E-4</v>
      </c>
      <c r="L48" s="87">
        <f t="shared" ref="L48" si="66">L$42*L49</f>
        <v>1.4156037494027579E-4</v>
      </c>
      <c r="M48" s="87">
        <f t="shared" ref="M48" si="67">M$42*M49</f>
        <v>6.7789715651113969E-5</v>
      </c>
      <c r="N48" s="87">
        <f t="shared" ref="N48" si="68">N$42*N49</f>
        <v>6.479924383209018E-5</v>
      </c>
      <c r="O48" s="115">
        <f>SUM(C48:N48)</f>
        <v>2.471163333459119E-3</v>
      </c>
    </row>
    <row r="49" spans="1:15" ht="12.75" customHeight="1" x14ac:dyDescent="0.3">
      <c r="A49" s="428"/>
      <c r="B49" s="79" t="s">
        <v>65</v>
      </c>
      <c r="C49" s="105">
        <f>C27</f>
        <v>0.01</v>
      </c>
      <c r="D49" s="105">
        <f t="shared" si="57"/>
        <v>0.01</v>
      </c>
      <c r="E49" s="105">
        <f t="shared" si="57"/>
        <v>0.01</v>
      </c>
      <c r="F49" s="105">
        <f t="shared" si="57"/>
        <v>0.01</v>
      </c>
      <c r="G49" s="105">
        <f t="shared" si="57"/>
        <v>0.01</v>
      </c>
      <c r="H49" s="105">
        <f t="shared" si="57"/>
        <v>0.01</v>
      </c>
      <c r="I49" s="105">
        <f t="shared" si="57"/>
        <v>0.01</v>
      </c>
      <c r="J49" s="105">
        <f t="shared" si="57"/>
        <v>0.01</v>
      </c>
      <c r="K49" s="105">
        <f t="shared" si="57"/>
        <v>0.01</v>
      </c>
      <c r="L49" s="105">
        <f t="shared" si="57"/>
        <v>0.01</v>
      </c>
      <c r="M49" s="105">
        <f t="shared" si="57"/>
        <v>0.01</v>
      </c>
      <c r="N49" s="105">
        <f t="shared" si="57"/>
        <v>0.01</v>
      </c>
      <c r="O49" s="105">
        <f t="shared" si="57"/>
        <v>9.9999999999999725E-3</v>
      </c>
    </row>
    <row r="50" spans="1:15" ht="12.75" customHeight="1" x14ac:dyDescent="0.3">
      <c r="A50" s="428"/>
      <c r="B50" s="96" t="s">
        <v>40</v>
      </c>
      <c r="C50" s="87">
        <f>C$42*C51</f>
        <v>9.7694433841353444E-5</v>
      </c>
      <c r="D50" s="87">
        <f t="shared" ref="D50" si="69">D$42*D51</f>
        <v>1.1567998403490811E-4</v>
      </c>
      <c r="E50" s="87">
        <f t="shared" ref="E50" si="70">E$42*E51</f>
        <v>2.6733106845692556E-4</v>
      </c>
      <c r="F50" s="87">
        <f t="shared" ref="F50" si="71">F$42*F51</f>
        <v>2.6434059663790158E-4</v>
      </c>
      <c r="G50" s="87">
        <f t="shared" ref="G50" si="72">G$42*G51</f>
        <v>3.057116340110184E-4</v>
      </c>
      <c r="H50" s="87">
        <f t="shared" ref="H50" si="73">H$42*H51</f>
        <v>3.3329232559309622E-4</v>
      </c>
      <c r="I50" s="87">
        <f t="shared" ref="I50" si="74">I$42*I51</f>
        <v>2.6018811151479665E-4</v>
      </c>
      <c r="J50" s="87">
        <f t="shared" ref="J50" si="75">J$42*J51</f>
        <v>2.709879854868122E-4</v>
      </c>
      <c r="K50" s="87">
        <f t="shared" ref="K50" si="76">K$42*K51</f>
        <v>2.8178785945882716E-4</v>
      </c>
      <c r="L50" s="87">
        <f t="shared" ref="L50" si="77">L$42*L51</f>
        <v>1.4156037494027579E-4</v>
      </c>
      <c r="M50" s="87">
        <f t="shared" ref="M50" si="78">M$42*M51</f>
        <v>6.7789715651113969E-5</v>
      </c>
      <c r="N50" s="87">
        <f t="shared" ref="N50" si="79">N$42*N51</f>
        <v>6.479924383209018E-5</v>
      </c>
      <c r="O50" s="115">
        <f>SUM(C50:N50)</f>
        <v>2.471163333459119E-3</v>
      </c>
    </row>
    <row r="51" spans="1:15" ht="12.75" customHeight="1" x14ac:dyDescent="0.3">
      <c r="A51" s="428"/>
      <c r="B51" s="79" t="s">
        <v>66</v>
      </c>
      <c r="C51" s="105">
        <f>C29</f>
        <v>0.01</v>
      </c>
      <c r="D51" s="105">
        <f t="shared" si="57"/>
        <v>0.01</v>
      </c>
      <c r="E51" s="105">
        <f t="shared" si="57"/>
        <v>0.01</v>
      </c>
      <c r="F51" s="105">
        <f t="shared" si="57"/>
        <v>0.01</v>
      </c>
      <c r="G51" s="105">
        <f t="shared" si="57"/>
        <v>0.01</v>
      </c>
      <c r="H51" s="105">
        <f t="shared" si="57"/>
        <v>0.01</v>
      </c>
      <c r="I51" s="105">
        <f t="shared" si="57"/>
        <v>0.01</v>
      </c>
      <c r="J51" s="105">
        <f t="shared" si="57"/>
        <v>0.01</v>
      </c>
      <c r="K51" s="105">
        <f t="shared" si="57"/>
        <v>0.01</v>
      </c>
      <c r="L51" s="105">
        <f t="shared" si="57"/>
        <v>0.01</v>
      </c>
      <c r="M51" s="105">
        <f t="shared" si="57"/>
        <v>0.01</v>
      </c>
      <c r="N51" s="105">
        <f t="shared" si="57"/>
        <v>0.01</v>
      </c>
      <c r="O51" s="105">
        <f t="shared" si="57"/>
        <v>9.9999999999999725E-3</v>
      </c>
    </row>
    <row r="52" spans="1:15" ht="12.75" customHeight="1" x14ac:dyDescent="0.3">
      <c r="A52" s="428"/>
      <c r="B52" s="96" t="s">
        <v>42</v>
      </c>
      <c r="C52" s="87">
        <f>C$42*C53</f>
        <v>0</v>
      </c>
      <c r="D52" s="87">
        <f t="shared" ref="D52" si="80">D$42*D53</f>
        <v>0</v>
      </c>
      <c r="E52" s="87">
        <f t="shared" ref="E52" si="81">E$42*E53</f>
        <v>0</v>
      </c>
      <c r="F52" s="87">
        <f t="shared" ref="F52" si="82">F$42*F53</f>
        <v>0</v>
      </c>
      <c r="G52" s="87">
        <f t="shared" ref="G52" si="83">G$42*G53</f>
        <v>0</v>
      </c>
      <c r="H52" s="87">
        <f t="shared" ref="H52" si="84">H$42*H53</f>
        <v>0</v>
      </c>
      <c r="I52" s="87">
        <f t="shared" ref="I52" si="85">I$42*I53</f>
        <v>0</v>
      </c>
      <c r="J52" s="87">
        <f t="shared" ref="J52" si="86">J$42*J53</f>
        <v>0</v>
      </c>
      <c r="K52" s="87">
        <f t="shared" ref="K52" si="87">K$42*K53</f>
        <v>0</v>
      </c>
      <c r="L52" s="87">
        <f t="shared" ref="L52" si="88">L$42*L53</f>
        <v>0</v>
      </c>
      <c r="M52" s="87">
        <f t="shared" ref="M52" si="89">M$42*M53</f>
        <v>0</v>
      </c>
      <c r="N52" s="87">
        <f t="shared" ref="N52" si="90">N$42*N53</f>
        <v>0</v>
      </c>
      <c r="O52" s="115">
        <f>SUM(C52:N52)</f>
        <v>0</v>
      </c>
    </row>
    <row r="53" spans="1:15" ht="12.75" customHeight="1" x14ac:dyDescent="0.3">
      <c r="A53" s="428"/>
      <c r="B53" s="79" t="s">
        <v>67</v>
      </c>
      <c r="C53" s="105">
        <f>C31</f>
        <v>0</v>
      </c>
      <c r="D53" s="105">
        <f t="shared" si="57"/>
        <v>0</v>
      </c>
      <c r="E53" s="105">
        <f t="shared" si="57"/>
        <v>0</v>
      </c>
      <c r="F53" s="105">
        <f t="shared" si="57"/>
        <v>0</v>
      </c>
      <c r="G53" s="105">
        <f t="shared" si="57"/>
        <v>0</v>
      </c>
      <c r="H53" s="105">
        <f t="shared" si="57"/>
        <v>0</v>
      </c>
      <c r="I53" s="105">
        <f t="shared" si="57"/>
        <v>0</v>
      </c>
      <c r="J53" s="105">
        <f t="shared" si="57"/>
        <v>0</v>
      </c>
      <c r="K53" s="105">
        <f t="shared" si="57"/>
        <v>0</v>
      </c>
      <c r="L53" s="105">
        <f t="shared" si="57"/>
        <v>0</v>
      </c>
      <c r="M53" s="105">
        <f t="shared" si="57"/>
        <v>0</v>
      </c>
      <c r="N53" s="105">
        <f t="shared" si="57"/>
        <v>0</v>
      </c>
      <c r="O53" s="105">
        <f t="shared" si="57"/>
        <v>0</v>
      </c>
    </row>
    <row r="54" spans="1:15" ht="12.75" customHeight="1" x14ac:dyDescent="0.3">
      <c r="A54" s="428"/>
      <c r="B54" s="96" t="s">
        <v>44</v>
      </c>
      <c r="C54" s="87">
        <f>'原版-2020-2021年垫资资金成本1'!$C$16*'原版-2019年新房垫佣测算--分摊至2021年垫资资金成本'!C8*C6/100000000*C9</f>
        <v>9.1972222222222238E-4</v>
      </c>
      <c r="D54" s="87">
        <f>'原版-2020-2021年垫资资金成本1'!$C$16*'原版-2019年新房垫佣测算--分摊至2021年垫资资金成本'!D8*D6/100000000*D9</f>
        <v>9.1972222222222238E-4</v>
      </c>
      <c r="E54" s="87">
        <f>'原版-2020-2021年垫资资金成本1'!$C$16*'原版-2019年新房垫佣测算--分摊至2021年垫资资金成本'!E8*E6/100000000*E9</f>
        <v>3.6788888888888895E-3</v>
      </c>
      <c r="F54" s="87">
        <f>'原版-2020-2021年垫资资金成本1'!$C$16*'原版-2019年新房垫佣测算--分摊至2021年垫资资金成本'!F8*F6/100000000*F9</f>
        <v>3.6788888888888895E-3</v>
      </c>
      <c r="G54" s="87">
        <f>'原版-2020-2021年垫资资金成本1'!$C$16*'原版-2019年新房垫佣测算--分摊至2021年垫资资金成本'!G8*G6/100000000*G9</f>
        <v>3.6788888888888895E-3</v>
      </c>
      <c r="H54" s="87">
        <f>'原版-2020-2021年垫资资金成本1'!$C$16*'原版-2019年新房垫佣测算--分摊至2021年垫资资金成本'!H8*H6/100000000*H9</f>
        <v>5.5183333333333343E-3</v>
      </c>
      <c r="I54" s="87">
        <f>'原版-2020-2021年垫资资金成本1'!$C$16*'原版-2019年新房垫佣测算--分摊至2021年垫资资金成本'!I8*I6/100000000*I9</f>
        <v>5.5183333333333343E-3</v>
      </c>
      <c r="J54" s="87">
        <f>'原版-2020-2021年垫资资金成本1'!$C$16*'原版-2019年新房垫佣测算--分摊至2021年垫资资金成本'!J8*J6/100000000*J9</f>
        <v>5.5183333333333343E-3</v>
      </c>
      <c r="K54" s="87">
        <f>'原版-2020-2021年垫资资金成本1'!$C$16*'原版-2019年新房垫佣测算--分摊至2021年垫资资金成本'!K8*K6/100000000*K9</f>
        <v>7.3577777777777791E-3</v>
      </c>
      <c r="L54" s="87">
        <f>'原版-2020-2021年垫资资金成本1'!$C$16*'原版-2019年新房垫佣测算--分摊至2021年垫资资金成本'!L8*L6/100000000*L9</f>
        <v>7.3577777777777791E-3</v>
      </c>
      <c r="M54" s="87">
        <f>'原版-2020-2021年垫资资金成本1'!$C$16*'原版-2019年新房垫佣测算--分摊至2021年垫资资金成本'!M8*M6/100000000*M9</f>
        <v>3.6788888888888895E-3</v>
      </c>
      <c r="N54" s="87">
        <f>'原版-2020-2021年垫资资金成本1'!$C$16*'原版-2019年新房垫佣测算--分摊至2021年垫资资金成本'!N8*N6/100000000*N9</f>
        <v>4.5986111111111149E-3</v>
      </c>
      <c r="O54" s="115">
        <f>SUM(C54:N54)</f>
        <v>5.2424166666666688E-2</v>
      </c>
    </row>
    <row r="55" spans="1:15" ht="12.75" customHeight="1" x14ac:dyDescent="0.3">
      <c r="A55" s="428"/>
      <c r="B55" s="80" t="s">
        <v>68</v>
      </c>
      <c r="C55" s="199">
        <f>C54/C42</f>
        <v>9.4142745503368666E-2</v>
      </c>
      <c r="D55" s="199">
        <f t="shared" ref="D55:N55" si="91">D54/D42</f>
        <v>7.9505735576924252E-2</v>
      </c>
      <c r="E55" s="199">
        <f t="shared" si="91"/>
        <v>0.13761546348219009</v>
      </c>
      <c r="F55" s="199">
        <f t="shared" si="91"/>
        <v>0.13917230027018121</v>
      </c>
      <c r="G55" s="199">
        <f t="shared" si="91"/>
        <v>0.12033853081156526</v>
      </c>
      <c r="H55" s="199">
        <f t="shared" si="91"/>
        <v>0.16557036900004879</v>
      </c>
      <c r="I55" s="199">
        <f t="shared" si="91"/>
        <v>0.21209014129069889</v>
      </c>
      <c r="J55" s="199">
        <f t="shared" si="91"/>
        <v>0.20363756435253058</v>
      </c>
      <c r="K55" s="199">
        <f t="shared" si="91"/>
        <v>0.26111053158600839</v>
      </c>
      <c r="L55" s="199">
        <f t="shared" si="91"/>
        <v>0.51976252400306366</v>
      </c>
      <c r="M55" s="199">
        <f t="shared" si="91"/>
        <v>0.5426912996394071</v>
      </c>
      <c r="N55" s="199">
        <f t="shared" si="91"/>
        <v>0.70967048983274861</v>
      </c>
      <c r="O55" s="204">
        <f>O54/O42</f>
        <v>0.21214367321193484</v>
      </c>
    </row>
    <row r="56" spans="1:15" s="100" customFormat="1" ht="12.75" customHeight="1" x14ac:dyDescent="0.3">
      <c r="A56" s="428"/>
      <c r="B56" s="121" t="s">
        <v>69</v>
      </c>
      <c r="C56" s="89">
        <f>C42-C44</f>
        <v>8.654332294230415E-3</v>
      </c>
      <c r="D56" s="89">
        <f t="shared" ref="D56:N56" si="92">D42-D44</f>
        <v>1.0416916213198773E-2</v>
      </c>
      <c r="E56" s="89">
        <f t="shared" si="92"/>
        <v>2.2519555819889812E-2</v>
      </c>
      <c r="F56" s="89">
        <f t="shared" si="92"/>
        <v>2.2226489581625465E-2</v>
      </c>
      <c r="G56" s="89">
        <f t="shared" si="92"/>
        <v>2.6280851244190911E-2</v>
      </c>
      <c r="H56" s="89">
        <f t="shared" si="92"/>
        <v>2.7144314574790093E-2</v>
      </c>
      <c r="I56" s="89">
        <f t="shared" si="92"/>
        <v>1.9980101595116737E-2</v>
      </c>
      <c r="J56" s="89">
        <f t="shared" si="92"/>
        <v>2.1038489244374261E-2</v>
      </c>
      <c r="K56" s="89">
        <f t="shared" si="92"/>
        <v>2.0257432449187283E-2</v>
      </c>
      <c r="L56" s="89">
        <f t="shared" si="92"/>
        <v>6.5151389663692487E-3</v>
      </c>
      <c r="M56" s="89">
        <f t="shared" si="92"/>
        <v>2.9645032449202792E-3</v>
      </c>
      <c r="N56" s="89">
        <f t="shared" si="92"/>
        <v>1.7517147844337225E-3</v>
      </c>
      <c r="O56" s="123">
        <f>SUM(C56:N56)</f>
        <v>0.18974984001232703</v>
      </c>
    </row>
    <row r="57" spans="1:15" ht="12.75" customHeight="1" thickBot="1" x14ac:dyDescent="0.35">
      <c r="A57" s="429"/>
      <c r="B57" s="81" t="s">
        <v>57</v>
      </c>
      <c r="C57" s="94">
        <f t="shared" ref="C57:O57" si="93">C56/C36</f>
        <v>0.5367027779367699</v>
      </c>
      <c r="D57" s="94">
        <f t="shared" si="93"/>
        <v>0.32300515389763634</v>
      </c>
      <c r="E57" s="94">
        <f t="shared" si="93"/>
        <v>0.23276026687224616</v>
      </c>
      <c r="F57" s="94">
        <f t="shared" si="93"/>
        <v>0.1969124215426398</v>
      </c>
      <c r="G57" s="94">
        <f t="shared" si="93"/>
        <v>0.16298202321978864</v>
      </c>
      <c r="H57" s="94">
        <f t="shared" si="93"/>
        <v>0.14028069547695141</v>
      </c>
      <c r="I57" s="94">
        <f t="shared" si="93"/>
        <v>8.8505433422444033E-2</v>
      </c>
      <c r="J57" s="94">
        <f t="shared" si="93"/>
        <v>8.1544531954938992E-2</v>
      </c>
      <c r="K57" s="94">
        <f t="shared" si="93"/>
        <v>6.9793048920541889E-2</v>
      </c>
      <c r="L57" s="94">
        <f t="shared" si="93"/>
        <v>2.0201981291067442E-2</v>
      </c>
      <c r="M57" s="94">
        <f t="shared" si="93"/>
        <v>1.671319658869784E-2</v>
      </c>
      <c r="N57" s="94">
        <f t="shared" si="93"/>
        <v>9.0527895836368007E-3</v>
      </c>
      <c r="O57" s="118">
        <f t="shared" si="93"/>
        <v>9.1220402625960942E-2</v>
      </c>
    </row>
  </sheetData>
  <mergeCells count="3">
    <mergeCell ref="B2:O2"/>
    <mergeCell ref="A14:A35"/>
    <mergeCell ref="A36:A5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8"/>
  <sheetViews>
    <sheetView zoomScale="90" zoomScaleNormal="90" workbookViewId="0">
      <selection activeCell="G10" sqref="G10"/>
    </sheetView>
  </sheetViews>
  <sheetFormatPr defaultRowHeight="12" x14ac:dyDescent="0.2"/>
  <cols>
    <col min="1" max="1" width="3.125" style="138" customWidth="1"/>
    <col min="2" max="2" width="51.125" style="138" customWidth="1"/>
    <col min="3" max="3" width="11.25" style="138" bestFit="1" customWidth="1"/>
    <col min="4" max="4" width="9.125" style="139" bestFit="1" customWidth="1"/>
    <col min="5" max="9" width="9.125" style="138" bestFit="1" customWidth="1"/>
    <col min="10" max="15" width="9.375" style="138" bestFit="1" customWidth="1"/>
    <col min="16" max="16384" width="9" style="138"/>
  </cols>
  <sheetData>
    <row r="1" spans="2:15" ht="27.75" customHeight="1" x14ac:dyDescent="0.2">
      <c r="B1" s="173" t="s">
        <v>119</v>
      </c>
    </row>
    <row r="2" spans="2:15" x14ac:dyDescent="0.2">
      <c r="B2" s="137"/>
      <c r="C2" s="149"/>
      <c r="D2" s="177" t="s">
        <v>99</v>
      </c>
      <c r="E2" s="139"/>
    </row>
    <row r="3" spans="2:15" ht="6" customHeight="1" thickBot="1" x14ac:dyDescent="0.25"/>
    <row r="4" spans="2:15" ht="14.25" x14ac:dyDescent="0.2">
      <c r="B4" s="166" t="s">
        <v>92</v>
      </c>
      <c r="C4" s="140"/>
      <c r="D4" s="141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2"/>
    </row>
    <row r="5" spans="2:15" ht="12.75" customHeight="1" x14ac:dyDescent="0.2">
      <c r="B5" s="148" t="s">
        <v>105</v>
      </c>
      <c r="C5" s="143"/>
      <c r="D5" s="145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4"/>
    </row>
    <row r="6" spans="2:15" ht="12.75" customHeight="1" x14ac:dyDescent="0.2">
      <c r="B6" s="148" t="s">
        <v>98</v>
      </c>
      <c r="C6" s="143"/>
      <c r="D6" s="143"/>
      <c r="E6" s="171">
        <v>0.08</v>
      </c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15" x14ac:dyDescent="0.2">
      <c r="B7" s="148" t="s">
        <v>94</v>
      </c>
      <c r="C7" s="143"/>
      <c r="D7" s="143"/>
      <c r="E7" s="171">
        <v>9.4500000000000001E-2</v>
      </c>
      <c r="F7" s="143"/>
      <c r="G7" s="143"/>
      <c r="H7" s="143"/>
      <c r="I7" s="143"/>
      <c r="J7" s="143"/>
      <c r="K7" s="143"/>
      <c r="L7" s="143"/>
      <c r="M7" s="143"/>
      <c r="N7" s="143"/>
      <c r="O7" s="144"/>
    </row>
    <row r="8" spans="2:15" ht="13.5" customHeight="1" x14ac:dyDescent="0.2">
      <c r="B8" s="148" t="s">
        <v>95</v>
      </c>
      <c r="C8" s="143"/>
      <c r="D8" s="143"/>
      <c r="E8" s="171">
        <v>2.7099999999999999E-2</v>
      </c>
      <c r="F8" s="143"/>
      <c r="G8" s="143"/>
      <c r="H8" s="143"/>
      <c r="I8" s="143"/>
      <c r="J8" s="143"/>
      <c r="K8" s="143"/>
      <c r="L8" s="143"/>
      <c r="M8" s="143"/>
      <c r="N8" s="143"/>
      <c r="O8" s="144"/>
    </row>
    <row r="9" spans="2:15" x14ac:dyDescent="0.2">
      <c r="B9" s="148" t="s">
        <v>104</v>
      </c>
      <c r="C9" s="143"/>
      <c r="D9" s="143"/>
      <c r="E9" s="171">
        <f>E7-E8</f>
        <v>6.7400000000000002E-2</v>
      </c>
      <c r="F9" s="174" t="s">
        <v>91</v>
      </c>
      <c r="G9" s="143"/>
      <c r="H9" s="143"/>
      <c r="I9" s="143"/>
      <c r="J9" s="143"/>
      <c r="K9" s="143"/>
      <c r="L9" s="143"/>
      <c r="M9" s="143"/>
      <c r="N9" s="143"/>
      <c r="O9" s="144"/>
    </row>
    <row r="10" spans="2:15" x14ac:dyDescent="0.2">
      <c r="B10" s="148" t="s">
        <v>115</v>
      </c>
      <c r="C10" s="143"/>
      <c r="D10" s="179"/>
      <c r="E10" s="193">
        <v>1.8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4"/>
    </row>
    <row r="11" spans="2:15" x14ac:dyDescent="0.2">
      <c r="B11" s="148" t="s">
        <v>114</v>
      </c>
      <c r="C11" s="143"/>
      <c r="D11" s="146" t="s">
        <v>79</v>
      </c>
      <c r="E11" s="146" t="s">
        <v>80</v>
      </c>
      <c r="F11" s="146" t="s">
        <v>81</v>
      </c>
      <c r="G11" s="146" t="s">
        <v>82</v>
      </c>
      <c r="H11" s="146" t="s">
        <v>83</v>
      </c>
      <c r="I11" s="146" t="s">
        <v>84</v>
      </c>
      <c r="J11" s="146" t="s">
        <v>85</v>
      </c>
      <c r="K11" s="146" t="s">
        <v>86</v>
      </c>
      <c r="L11" s="146" t="s">
        <v>87</v>
      </c>
      <c r="M11" s="146" t="s">
        <v>88</v>
      </c>
      <c r="N11" s="146" t="s">
        <v>89</v>
      </c>
      <c r="O11" s="147" t="s">
        <v>90</v>
      </c>
    </row>
    <row r="12" spans="2:15" ht="12.75" thickBot="1" x14ac:dyDescent="0.25">
      <c r="B12" s="152"/>
      <c r="C12" s="153"/>
      <c r="D12" s="181">
        <v>5.4999999999999997E-3</v>
      </c>
      <c r="E12" s="181">
        <v>5.4999999999999997E-3</v>
      </c>
      <c r="F12" s="181">
        <v>5.4999999999999997E-3</v>
      </c>
      <c r="G12" s="181">
        <v>5.4999999999999997E-3</v>
      </c>
      <c r="H12" s="181">
        <v>5.4999999999999997E-3</v>
      </c>
      <c r="I12" s="181">
        <v>5.4999999999999997E-3</v>
      </c>
      <c r="J12" s="181">
        <v>5.4999999999999997E-3</v>
      </c>
      <c r="K12" s="181">
        <v>5.4999999999999997E-3</v>
      </c>
      <c r="L12" s="181">
        <v>5.4999999999999997E-3</v>
      </c>
      <c r="M12" s="181">
        <v>5.4999999999999997E-3</v>
      </c>
      <c r="N12" s="181">
        <v>5.4999999999999997E-3</v>
      </c>
      <c r="O12" s="182">
        <f>E9-SUM(D12:N12)</f>
        <v>6.9000000000000172E-3</v>
      </c>
    </row>
    <row r="13" spans="2:15" ht="12.75" thickBot="1" x14ac:dyDescent="0.25">
      <c r="B13" s="151"/>
      <c r="C13" s="143"/>
      <c r="D13" s="145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4"/>
    </row>
    <row r="14" spans="2:15" s="150" customFormat="1" ht="14.25" x14ac:dyDescent="0.2">
      <c r="B14" s="166" t="s">
        <v>101</v>
      </c>
      <c r="C14" s="175" t="s">
        <v>96</v>
      </c>
      <c r="D14" s="175">
        <v>43466</v>
      </c>
      <c r="E14" s="175">
        <v>43497</v>
      </c>
      <c r="F14" s="175">
        <v>43525</v>
      </c>
      <c r="G14" s="175">
        <v>43556</v>
      </c>
      <c r="H14" s="175">
        <v>43586</v>
      </c>
      <c r="I14" s="175">
        <v>43617</v>
      </c>
      <c r="J14" s="175">
        <v>43647</v>
      </c>
      <c r="K14" s="175">
        <v>43678</v>
      </c>
      <c r="L14" s="175">
        <v>43709</v>
      </c>
      <c r="M14" s="175">
        <v>43739</v>
      </c>
      <c r="N14" s="175">
        <v>43770</v>
      </c>
      <c r="O14" s="176">
        <v>43800</v>
      </c>
    </row>
    <row r="15" spans="2:15" s="150" customFormat="1" ht="12.75" x14ac:dyDescent="0.2">
      <c r="B15" s="167" t="s">
        <v>93</v>
      </c>
      <c r="C15" s="184">
        <v>21.5</v>
      </c>
      <c r="D15" s="210">
        <v>0</v>
      </c>
      <c r="E15" s="210">
        <v>0</v>
      </c>
      <c r="F15" s="210">
        <v>0.1</v>
      </c>
      <c r="G15" s="210">
        <v>0.4</v>
      </c>
      <c r="H15" s="210">
        <v>0.5</v>
      </c>
      <c r="I15" s="210">
        <v>1</v>
      </c>
      <c r="J15" s="210">
        <v>2</v>
      </c>
      <c r="K15" s="210">
        <v>2.5</v>
      </c>
      <c r="L15" s="210">
        <v>3</v>
      </c>
      <c r="M15" s="210">
        <v>3.5</v>
      </c>
      <c r="N15" s="210">
        <v>4</v>
      </c>
      <c r="O15" s="211">
        <f>C15-SUM(D15:N15)</f>
        <v>4.5</v>
      </c>
    </row>
    <row r="16" spans="2:15" s="150" customFormat="1" ht="12.75" x14ac:dyDescent="0.2">
      <c r="B16" s="169" t="s">
        <v>116</v>
      </c>
      <c r="C16" s="194">
        <f>SUM(D16:O16)</f>
        <v>119444.44444444444</v>
      </c>
      <c r="D16" s="195">
        <f t="shared" ref="D16:O16" si="0">D15/$E$10*10000</f>
        <v>0</v>
      </c>
      <c r="E16" s="195">
        <f t="shared" si="0"/>
        <v>0</v>
      </c>
      <c r="F16" s="195">
        <f t="shared" si="0"/>
        <v>555.55555555555554</v>
      </c>
      <c r="G16" s="195">
        <f t="shared" si="0"/>
        <v>2222.2222222222222</v>
      </c>
      <c r="H16" s="195">
        <f t="shared" si="0"/>
        <v>2777.7777777777778</v>
      </c>
      <c r="I16" s="195">
        <f t="shared" si="0"/>
        <v>5555.5555555555557</v>
      </c>
      <c r="J16" s="195">
        <f t="shared" si="0"/>
        <v>11111.111111111111</v>
      </c>
      <c r="K16" s="195">
        <f t="shared" si="0"/>
        <v>13888.888888888889</v>
      </c>
      <c r="L16" s="195">
        <f t="shared" si="0"/>
        <v>16666.666666666664</v>
      </c>
      <c r="M16" s="195">
        <f t="shared" si="0"/>
        <v>19444.444444444445</v>
      </c>
      <c r="N16" s="195">
        <f t="shared" si="0"/>
        <v>22222.222222222223</v>
      </c>
      <c r="O16" s="196">
        <f t="shared" si="0"/>
        <v>25000</v>
      </c>
    </row>
    <row r="17" spans="2:28" s="150" customFormat="1" ht="13.5" thickBot="1" x14ac:dyDescent="0.25">
      <c r="B17" s="168"/>
      <c r="C17" s="163"/>
      <c r="D17" s="156"/>
      <c r="E17" s="154"/>
      <c r="F17" s="156"/>
      <c r="G17" s="154"/>
      <c r="H17" s="154"/>
      <c r="I17" s="154"/>
      <c r="J17" s="154"/>
      <c r="K17" s="154"/>
      <c r="L17" s="154"/>
      <c r="M17" s="154"/>
      <c r="N17" s="154"/>
      <c r="O17" s="155"/>
    </row>
    <row r="18" spans="2:28" s="150" customFormat="1" ht="12.75" x14ac:dyDescent="0.2">
      <c r="B18" s="186"/>
      <c r="C18" s="187">
        <v>43831</v>
      </c>
      <c r="D18" s="187">
        <v>43862</v>
      </c>
      <c r="E18" s="187">
        <v>43891</v>
      </c>
      <c r="F18" s="187">
        <v>43922</v>
      </c>
      <c r="G18" s="187">
        <v>43952</v>
      </c>
      <c r="H18" s="187">
        <v>43983</v>
      </c>
      <c r="I18" s="187">
        <v>44013</v>
      </c>
      <c r="J18" s="187">
        <v>44044</v>
      </c>
      <c r="K18" s="187">
        <v>44075</v>
      </c>
      <c r="L18" s="187">
        <v>44105</v>
      </c>
      <c r="M18" s="187">
        <v>44136</v>
      </c>
      <c r="N18" s="187">
        <v>44166</v>
      </c>
      <c r="O18" s="188">
        <v>44197</v>
      </c>
      <c r="P18" s="187">
        <v>44228</v>
      </c>
      <c r="Q18" s="187">
        <v>44256</v>
      </c>
      <c r="R18" s="187">
        <v>44287</v>
      </c>
      <c r="S18" s="187">
        <v>44317</v>
      </c>
      <c r="T18" s="187">
        <v>44348</v>
      </c>
      <c r="U18" s="187">
        <v>44378</v>
      </c>
      <c r="V18" s="187">
        <v>44409</v>
      </c>
      <c r="W18" s="187">
        <v>44440</v>
      </c>
      <c r="X18" s="187">
        <v>44470</v>
      </c>
      <c r="Y18" s="187">
        <v>44501</v>
      </c>
      <c r="Z18" s="187">
        <v>44531</v>
      </c>
      <c r="AA18" s="188" t="s">
        <v>113</v>
      </c>
    </row>
    <row r="19" spans="2:28" s="150" customFormat="1" ht="12.75" x14ac:dyDescent="0.2">
      <c r="B19" s="169" t="s">
        <v>106</v>
      </c>
      <c r="C19" s="157">
        <f>D15*$E$7</f>
        <v>0</v>
      </c>
      <c r="D19" s="157">
        <f>E15*$E$7</f>
        <v>0</v>
      </c>
      <c r="E19" s="157">
        <f t="shared" ref="E19:Z19" si="1">F15*$E$7+D19</f>
        <v>9.4500000000000001E-3</v>
      </c>
      <c r="F19" s="157">
        <f t="shared" si="1"/>
        <v>4.725E-2</v>
      </c>
      <c r="G19" s="157">
        <f t="shared" si="1"/>
        <v>9.4500000000000001E-2</v>
      </c>
      <c r="H19" s="157">
        <f t="shared" si="1"/>
        <v>0.189</v>
      </c>
      <c r="I19" s="157">
        <f t="shared" si="1"/>
        <v>0.378</v>
      </c>
      <c r="J19" s="157">
        <f t="shared" si="1"/>
        <v>0.61424999999999996</v>
      </c>
      <c r="K19" s="157">
        <f t="shared" si="1"/>
        <v>0.89774999999999994</v>
      </c>
      <c r="L19" s="157">
        <f t="shared" si="1"/>
        <v>1.2284999999999999</v>
      </c>
      <c r="M19" s="157">
        <f t="shared" si="1"/>
        <v>1.6065</v>
      </c>
      <c r="N19" s="157">
        <f t="shared" si="1"/>
        <v>2.0317500000000002</v>
      </c>
      <c r="O19" s="158">
        <f t="shared" si="1"/>
        <v>2.0317500000000002</v>
      </c>
      <c r="P19" s="157">
        <f t="shared" si="1"/>
        <v>2.0317500000000002</v>
      </c>
      <c r="Q19" s="157">
        <f t="shared" si="1"/>
        <v>2.0317500000000002</v>
      </c>
      <c r="R19" s="157">
        <f t="shared" si="1"/>
        <v>2.0317500000000002</v>
      </c>
      <c r="S19" s="157">
        <f t="shared" si="1"/>
        <v>2.0317500000000002</v>
      </c>
      <c r="T19" s="157">
        <f t="shared" si="1"/>
        <v>2.0317500000000002</v>
      </c>
      <c r="U19" s="157">
        <f t="shared" si="1"/>
        <v>2.0317500000000002</v>
      </c>
      <c r="V19" s="157">
        <f t="shared" si="1"/>
        <v>2.0317500000000002</v>
      </c>
      <c r="W19" s="157">
        <f t="shared" si="1"/>
        <v>2.0317500000000002</v>
      </c>
      <c r="X19" s="157">
        <f t="shared" si="1"/>
        <v>2.0317500000000002</v>
      </c>
      <c r="Y19" s="157">
        <f t="shared" si="1"/>
        <v>2.0317500000000002</v>
      </c>
      <c r="Z19" s="157">
        <f t="shared" si="1"/>
        <v>2.0317500000000002</v>
      </c>
      <c r="AA19" s="189">
        <f>Z19</f>
        <v>2.0317500000000002</v>
      </c>
    </row>
    <row r="20" spans="2:28" s="150" customFormat="1" ht="12.75" x14ac:dyDescent="0.2">
      <c r="B20" s="167" t="s">
        <v>108</v>
      </c>
      <c r="C20" s="159">
        <f>$D$15*D12</f>
        <v>0</v>
      </c>
      <c r="D20" s="159">
        <f>$D$15*E12+$E$15*D12+C20</f>
        <v>0</v>
      </c>
      <c r="E20" s="159">
        <f>$D$15*F12+$E$15*E12+$F$15*D12+D20</f>
        <v>5.5000000000000003E-4</v>
      </c>
      <c r="F20" s="159">
        <f>$D$15*G12+$E$15*F12+$F$15*E12+$G$15*D12+E20</f>
        <v>3.3000000000000004E-3</v>
      </c>
      <c r="G20" s="159">
        <f>$D$15*H12+$E$15*G12+$F$15*F12+$G$15*E12+$H$15*D12+F20</f>
        <v>8.8000000000000005E-3</v>
      </c>
      <c r="H20" s="159">
        <f>$D$15*I12+$E$15*H12+$F$15*G12+$G$15*F12+$H$15*E12+$I$15*D12+G20</f>
        <v>1.9799999999999998E-2</v>
      </c>
      <c r="I20" s="159">
        <f>$D$15*J12+$E$15*I12+$F$15*H12+$G$15*G12+$H$15*F12+$I$15*E12+$J$15*D12+H20</f>
        <v>4.1799999999999997E-2</v>
      </c>
      <c r="J20" s="159">
        <f>$D$15*K12+$E$15*J12+$F$15*I12+$G$15*H12+$H$15*G12+$I$15*F12+$J$15*E12+$K$15*D12+I20</f>
        <v>7.7549999999999994E-2</v>
      </c>
      <c r="K20" s="159">
        <f>$D$15*L12+$E$15*K12+$F$15*J12+$G$15*I12+$H$15*H12+$I$15*G12+$J$15*F12+$K$15*E12+$L$15*D12+J20</f>
        <v>0.1298</v>
      </c>
      <c r="L20" s="159">
        <f>$D$15*M12+$E$15*L12+$F$15*K12+$G$15*J12+$H$15*I12+$I$15*H12+$J$15*G12+$K$15*F12+$L$15*E12+$M$15*D12+K20</f>
        <v>0.20129999999999998</v>
      </c>
      <c r="M20" s="159">
        <f>$D$15*N12+$E$15*M12+$F$15*L12+$G$15*K12+$H$15*J12+$I$15*I12+$J$15*H12+$K$15*G12+$L$15*F12+$M$15*E12+$N$15*D12+L20</f>
        <v>0.29479999999999995</v>
      </c>
      <c r="N20" s="159">
        <f t="shared" ref="N20:Z20" si="2">$D$15*O12+$E$15*N12+$F$15*M12+$G$15*L12+$H$15*K12+$I$15*J12+$J$15*I12+$K$15*H12+$L$15*G12+$M$15*F12+$N$15*E12+$O$15*D12+M20</f>
        <v>0.41304999999999992</v>
      </c>
      <c r="O20" s="160">
        <f t="shared" si="2"/>
        <v>0.53129999999999988</v>
      </c>
      <c r="P20" s="159">
        <f t="shared" si="2"/>
        <v>0.64968999999999988</v>
      </c>
      <c r="Q20" s="159">
        <f t="shared" si="2"/>
        <v>0.76794999999999991</v>
      </c>
      <c r="R20" s="159">
        <f t="shared" si="2"/>
        <v>0.88414999999999988</v>
      </c>
      <c r="S20" s="159">
        <f t="shared" si="2"/>
        <v>0.99829999999999985</v>
      </c>
      <c r="T20" s="159">
        <f t="shared" si="2"/>
        <v>1.1083499999999999</v>
      </c>
      <c r="U20" s="159">
        <f t="shared" si="2"/>
        <v>1.2081</v>
      </c>
      <c r="V20" s="159">
        <f t="shared" si="2"/>
        <v>1.2948</v>
      </c>
      <c r="W20" s="159">
        <f t="shared" si="2"/>
        <v>1.3656999999999999</v>
      </c>
      <c r="X20" s="159">
        <f t="shared" si="2"/>
        <v>1.41805</v>
      </c>
      <c r="Y20" s="159">
        <f t="shared" si="2"/>
        <v>1.4491000000000001</v>
      </c>
      <c r="Z20" s="159">
        <f t="shared" si="2"/>
        <v>1.4491000000000001</v>
      </c>
      <c r="AA20" s="189">
        <f>Z20</f>
        <v>1.4491000000000001</v>
      </c>
    </row>
    <row r="21" spans="2:28" s="150" customFormat="1" ht="12.75" x14ac:dyDescent="0.2">
      <c r="B21" s="169" t="s">
        <v>109</v>
      </c>
      <c r="C21" s="161">
        <f>C19-C20</f>
        <v>0</v>
      </c>
      <c r="D21" s="161">
        <f t="shared" ref="D21:M21" si="3">D19-D20</f>
        <v>0</v>
      </c>
      <c r="E21" s="161">
        <f>E19-E20</f>
        <v>8.8999999999999999E-3</v>
      </c>
      <c r="F21" s="161">
        <f>F19-F20</f>
        <v>4.3950000000000003E-2</v>
      </c>
      <c r="G21" s="161">
        <f t="shared" si="3"/>
        <v>8.5699999999999998E-2</v>
      </c>
      <c r="H21" s="161">
        <f t="shared" si="3"/>
        <v>0.16920000000000002</v>
      </c>
      <c r="I21" s="161">
        <f t="shared" si="3"/>
        <v>0.3362</v>
      </c>
      <c r="J21" s="161">
        <f t="shared" si="3"/>
        <v>0.53669999999999995</v>
      </c>
      <c r="K21" s="161">
        <f t="shared" si="3"/>
        <v>0.76794999999999991</v>
      </c>
      <c r="L21" s="161">
        <f t="shared" si="3"/>
        <v>1.0271999999999999</v>
      </c>
      <c r="M21" s="161">
        <f t="shared" si="3"/>
        <v>1.3117000000000001</v>
      </c>
      <c r="N21" s="161">
        <f>N19-N20</f>
        <v>1.6187000000000002</v>
      </c>
      <c r="O21" s="162">
        <f t="shared" ref="O21:Y21" si="4">O19-O20</f>
        <v>1.5004500000000003</v>
      </c>
      <c r="P21" s="161">
        <f t="shared" si="4"/>
        <v>1.3820600000000003</v>
      </c>
      <c r="Q21" s="161">
        <f t="shared" si="4"/>
        <v>1.2638000000000003</v>
      </c>
      <c r="R21" s="161">
        <f t="shared" si="4"/>
        <v>1.1476000000000002</v>
      </c>
      <c r="S21" s="161">
        <f t="shared" si="4"/>
        <v>1.0334500000000002</v>
      </c>
      <c r="T21" s="161">
        <f t="shared" si="4"/>
        <v>0.92340000000000022</v>
      </c>
      <c r="U21" s="161">
        <f t="shared" si="4"/>
        <v>0.82365000000000022</v>
      </c>
      <c r="V21" s="161">
        <f t="shared" si="4"/>
        <v>0.73695000000000022</v>
      </c>
      <c r="W21" s="161">
        <f t="shared" si="4"/>
        <v>0.66605000000000025</v>
      </c>
      <c r="X21" s="161">
        <f t="shared" si="4"/>
        <v>0.61370000000000013</v>
      </c>
      <c r="Y21" s="161">
        <f t="shared" si="4"/>
        <v>0.58265000000000011</v>
      </c>
      <c r="Z21" s="213">
        <f>Z19-Z20</f>
        <v>0.58265000000000011</v>
      </c>
      <c r="AA21" s="189">
        <f>AVERAGE(E21:Z21)</f>
        <v>0.78011863636363654</v>
      </c>
      <c r="AB21" s="212">
        <f>Z21/C15</f>
        <v>2.7100000000000006E-2</v>
      </c>
    </row>
    <row r="22" spans="2:28" ht="12.75" thickBot="1" x14ac:dyDescent="0.25">
      <c r="B22" s="170" t="s">
        <v>107</v>
      </c>
      <c r="C22" s="251">
        <f>C21*$E$6/12</f>
        <v>0</v>
      </c>
      <c r="D22" s="251">
        <f t="shared" ref="D22:Z22" si="5">(C21+D21)/2*$E$6/12</f>
        <v>0</v>
      </c>
      <c r="E22" s="251">
        <f t="shared" si="5"/>
        <v>2.9666666666666665E-5</v>
      </c>
      <c r="F22" s="251">
        <f t="shared" si="5"/>
        <v>1.7616666666666668E-4</v>
      </c>
      <c r="G22" s="251">
        <f t="shared" si="5"/>
        <v>4.3216666666666664E-4</v>
      </c>
      <c r="H22" s="251">
        <f t="shared" si="5"/>
        <v>8.4966666666666665E-4</v>
      </c>
      <c r="I22" s="251">
        <f t="shared" si="5"/>
        <v>1.684666666666667E-3</v>
      </c>
      <c r="J22" s="251">
        <f t="shared" si="5"/>
        <v>2.9096666666666667E-3</v>
      </c>
      <c r="K22" s="251">
        <f t="shared" si="5"/>
        <v>4.348833333333333E-3</v>
      </c>
      <c r="L22" s="251">
        <f t="shared" si="5"/>
        <v>5.9838333333333332E-3</v>
      </c>
      <c r="M22" s="251">
        <f t="shared" si="5"/>
        <v>7.7963333333333322E-3</v>
      </c>
      <c r="N22" s="251">
        <f t="shared" si="5"/>
        <v>9.7680000000000024E-3</v>
      </c>
      <c r="O22" s="165">
        <f t="shared" si="5"/>
        <v>1.0397166666666667E-2</v>
      </c>
      <c r="P22" s="164">
        <f t="shared" si="5"/>
        <v>9.6083666666666699E-3</v>
      </c>
      <c r="Q22" s="164">
        <f t="shared" si="5"/>
        <v>8.8195333333333358E-3</v>
      </c>
      <c r="R22" s="164">
        <f t="shared" si="5"/>
        <v>8.0380000000000017E-3</v>
      </c>
      <c r="S22" s="164">
        <f t="shared" si="5"/>
        <v>7.2701666666666678E-3</v>
      </c>
      <c r="T22" s="164">
        <f t="shared" si="5"/>
        <v>6.5228333333333353E-3</v>
      </c>
      <c r="U22" s="164">
        <f t="shared" si="5"/>
        <v>5.8235000000000014E-3</v>
      </c>
      <c r="V22" s="164">
        <f t="shared" si="5"/>
        <v>5.2020000000000018E-3</v>
      </c>
      <c r="W22" s="164">
        <f t="shared" si="5"/>
        <v>4.6766666666666684E-3</v>
      </c>
      <c r="X22" s="164">
        <f t="shared" si="5"/>
        <v>4.2658333333333341E-3</v>
      </c>
      <c r="Y22" s="164">
        <f t="shared" si="5"/>
        <v>3.9878333333333337E-3</v>
      </c>
      <c r="Z22" s="164">
        <f t="shared" si="5"/>
        <v>3.8843333333333338E-3</v>
      </c>
      <c r="AA22" s="214">
        <f>SUM(C22:Z22)</f>
        <v>0.11247523333333333</v>
      </c>
    </row>
    <row r="23" spans="2:28" ht="12.75" thickBot="1" x14ac:dyDescent="0.25"/>
    <row r="24" spans="2:28" ht="14.25" x14ac:dyDescent="0.2">
      <c r="B24" s="166" t="s">
        <v>100</v>
      </c>
      <c r="C24" s="142" t="s">
        <v>103</v>
      </c>
    </row>
    <row r="25" spans="2:28" ht="14.25" customHeight="1" x14ac:dyDescent="0.2">
      <c r="B25" s="178" t="s">
        <v>102</v>
      </c>
      <c r="C25" s="190">
        <f>E21</f>
        <v>8.8999999999999999E-3</v>
      </c>
    </row>
    <row r="26" spans="2:28" ht="12.75" x14ac:dyDescent="0.2">
      <c r="B26" s="178" t="s">
        <v>110</v>
      </c>
      <c r="C26" s="191">
        <f>AVERAGE(E21:Z21)</f>
        <v>0.78011863636363654</v>
      </c>
    </row>
    <row r="27" spans="2:28" ht="12.75" x14ac:dyDescent="0.2">
      <c r="B27" s="178" t="s">
        <v>111</v>
      </c>
      <c r="C27" s="191">
        <f>MAX(C21:Z21)</f>
        <v>1.6187000000000002</v>
      </c>
    </row>
    <row r="28" spans="2:28" ht="13.5" thickBot="1" x14ac:dyDescent="0.25">
      <c r="B28" s="180" t="s">
        <v>112</v>
      </c>
      <c r="C28" s="192">
        <f>AA22</f>
        <v>0.11247523333333333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10" sqref="G10"/>
    </sheetView>
  </sheetViews>
  <sheetFormatPr defaultRowHeight="11.25" x14ac:dyDescent="0.2"/>
  <cols>
    <col min="1" max="1" width="9" style="78"/>
    <col min="2" max="2" width="15.875" style="78" customWidth="1"/>
    <col min="3" max="14" width="9" style="85"/>
    <col min="15" max="15" width="9" style="119"/>
    <col min="16" max="16384" width="9" style="78"/>
  </cols>
  <sheetData>
    <row r="1" spans="1:15" ht="36" customHeight="1" thickBot="1" x14ac:dyDescent="0.25">
      <c r="B1" s="426" t="s">
        <v>97</v>
      </c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15" ht="12.75" customHeight="1" x14ac:dyDescent="0.2">
      <c r="A2" s="128"/>
      <c r="B2" s="134" t="s">
        <v>18</v>
      </c>
      <c r="C2" s="135">
        <v>1</v>
      </c>
      <c r="D2" s="135">
        <v>2</v>
      </c>
      <c r="E2" s="135">
        <v>3</v>
      </c>
      <c r="F2" s="135">
        <v>3.5</v>
      </c>
      <c r="G2" s="135">
        <v>5</v>
      </c>
      <c r="H2" s="135">
        <v>6</v>
      </c>
      <c r="I2" s="135">
        <v>7</v>
      </c>
      <c r="J2" s="135">
        <v>8</v>
      </c>
      <c r="K2" s="135">
        <v>9</v>
      </c>
      <c r="L2" s="135">
        <v>10</v>
      </c>
      <c r="M2" s="135">
        <v>11</v>
      </c>
      <c r="N2" s="135">
        <v>12</v>
      </c>
      <c r="O2" s="136" t="s">
        <v>50</v>
      </c>
    </row>
    <row r="3" spans="1:15" ht="12.75" customHeight="1" x14ac:dyDescent="0.3">
      <c r="A3" s="129"/>
      <c r="B3" s="79" t="s">
        <v>20</v>
      </c>
      <c r="C3" s="86">
        <v>0.05</v>
      </c>
      <c r="D3" s="86">
        <v>0.05</v>
      </c>
      <c r="E3" s="86">
        <v>0.1</v>
      </c>
      <c r="F3" s="86">
        <v>0.1</v>
      </c>
      <c r="G3" s="86">
        <v>0.1</v>
      </c>
      <c r="H3" s="86">
        <v>0.1</v>
      </c>
      <c r="I3" s="86">
        <v>0.1</v>
      </c>
      <c r="J3" s="86">
        <v>0.1</v>
      </c>
      <c r="K3" s="86">
        <v>0.1</v>
      </c>
      <c r="L3" s="86">
        <v>0.1</v>
      </c>
      <c r="M3" s="86">
        <v>0.05</v>
      </c>
      <c r="N3" s="88">
        <f>1-SUM(C3:M3)</f>
        <v>5.0000000000000044E-2</v>
      </c>
      <c r="O3" s="106">
        <f>SUM(C3:N3)</f>
        <v>1</v>
      </c>
    </row>
    <row r="4" spans="1:15" ht="12.75" customHeight="1" x14ac:dyDescent="0.3">
      <c r="A4" s="129"/>
      <c r="B4" s="79" t="s">
        <v>59</v>
      </c>
      <c r="C4" s="86">
        <v>1.4999999999999999E-2</v>
      </c>
      <c r="D4" s="88">
        <f>C4</f>
        <v>1.4999999999999999E-2</v>
      </c>
      <c r="E4" s="88">
        <f t="shared" ref="E4:N4" si="0">D4</f>
        <v>1.4999999999999999E-2</v>
      </c>
      <c r="F4" s="88">
        <f t="shared" si="0"/>
        <v>1.4999999999999999E-2</v>
      </c>
      <c r="G4" s="88">
        <f t="shared" si="0"/>
        <v>1.4999999999999999E-2</v>
      </c>
      <c r="H4" s="88">
        <f t="shared" si="0"/>
        <v>1.4999999999999999E-2</v>
      </c>
      <c r="I4" s="88">
        <f t="shared" si="0"/>
        <v>1.4999999999999999E-2</v>
      </c>
      <c r="J4" s="88">
        <f t="shared" si="0"/>
        <v>1.4999999999999999E-2</v>
      </c>
      <c r="K4" s="88">
        <f t="shared" si="0"/>
        <v>1.4999999999999999E-2</v>
      </c>
      <c r="L4" s="88">
        <f t="shared" si="0"/>
        <v>1.4999999999999999E-2</v>
      </c>
      <c r="M4" s="88">
        <f t="shared" si="0"/>
        <v>1.4999999999999999E-2</v>
      </c>
      <c r="N4" s="88">
        <f t="shared" si="0"/>
        <v>1.4999999999999999E-2</v>
      </c>
      <c r="O4" s="107"/>
    </row>
    <row r="5" spans="1:15" ht="12.75" customHeight="1" x14ac:dyDescent="0.3">
      <c r="A5" s="129"/>
      <c r="B5" s="79" t="s">
        <v>53</v>
      </c>
      <c r="C5" s="88">
        <f t="shared" ref="C5:N5" si="1">C4*C2</f>
        <v>1.4999999999999999E-2</v>
      </c>
      <c r="D5" s="88">
        <f t="shared" si="1"/>
        <v>0.03</v>
      </c>
      <c r="E5" s="88">
        <f t="shared" si="1"/>
        <v>4.4999999999999998E-2</v>
      </c>
      <c r="F5" s="88">
        <f t="shared" si="1"/>
        <v>5.2499999999999998E-2</v>
      </c>
      <c r="G5" s="88">
        <f t="shared" si="1"/>
        <v>7.4999999999999997E-2</v>
      </c>
      <c r="H5" s="88">
        <f t="shared" si="1"/>
        <v>0.09</v>
      </c>
      <c r="I5" s="88">
        <f t="shared" si="1"/>
        <v>0.105</v>
      </c>
      <c r="J5" s="88">
        <f t="shared" si="1"/>
        <v>0.12</v>
      </c>
      <c r="K5" s="88">
        <f t="shared" si="1"/>
        <v>0.13500000000000001</v>
      </c>
      <c r="L5" s="88">
        <f t="shared" si="1"/>
        <v>0.15</v>
      </c>
      <c r="M5" s="88">
        <f t="shared" si="1"/>
        <v>0.16499999999999998</v>
      </c>
      <c r="N5" s="88">
        <f t="shared" si="1"/>
        <v>0.18</v>
      </c>
      <c r="O5" s="108"/>
    </row>
    <row r="6" spans="1:15" ht="12.75" customHeight="1" x14ac:dyDescent="0.3">
      <c r="A6" s="129"/>
      <c r="B6" s="79" t="s">
        <v>51</v>
      </c>
      <c r="C6" s="87">
        <f>$O$6*C3</f>
        <v>1.1800000000000002</v>
      </c>
      <c r="D6" s="87">
        <f t="shared" ref="D6:N6" si="2">$O$6*D3</f>
        <v>1.1800000000000002</v>
      </c>
      <c r="E6" s="87">
        <f t="shared" si="2"/>
        <v>2.3600000000000003</v>
      </c>
      <c r="F6" s="87">
        <f t="shared" si="2"/>
        <v>2.3600000000000003</v>
      </c>
      <c r="G6" s="87">
        <f t="shared" si="2"/>
        <v>2.3600000000000003</v>
      </c>
      <c r="H6" s="87">
        <f t="shared" si="2"/>
        <v>2.3600000000000003</v>
      </c>
      <c r="I6" s="87">
        <f t="shared" si="2"/>
        <v>2.3600000000000003</v>
      </c>
      <c r="J6" s="87">
        <f t="shared" si="2"/>
        <v>2.3600000000000003</v>
      </c>
      <c r="K6" s="87">
        <f t="shared" si="2"/>
        <v>2.3600000000000003</v>
      </c>
      <c r="L6" s="87">
        <f t="shared" si="2"/>
        <v>2.3600000000000003</v>
      </c>
      <c r="M6" s="87">
        <f t="shared" si="2"/>
        <v>1.1800000000000002</v>
      </c>
      <c r="N6" s="87">
        <f t="shared" si="2"/>
        <v>1.180000000000001</v>
      </c>
      <c r="O6" s="109">
        <v>23.6</v>
      </c>
    </row>
    <row r="7" spans="1:15" ht="12.75" customHeight="1" x14ac:dyDescent="0.3">
      <c r="A7" s="129"/>
      <c r="B7" s="79" t="s">
        <v>52</v>
      </c>
      <c r="C7" s="88">
        <f t="shared" ref="C7:N7" si="3">1/(1+C5)</f>
        <v>0.98522167487684742</v>
      </c>
      <c r="D7" s="88">
        <f t="shared" si="3"/>
        <v>0.970873786407767</v>
      </c>
      <c r="E7" s="88">
        <f t="shared" si="3"/>
        <v>0.95693779904306231</v>
      </c>
      <c r="F7" s="88">
        <f t="shared" si="3"/>
        <v>0.95011876484560576</v>
      </c>
      <c r="G7" s="88">
        <f t="shared" si="3"/>
        <v>0.93023255813953487</v>
      </c>
      <c r="H7" s="88">
        <f t="shared" si="3"/>
        <v>0.9174311926605504</v>
      </c>
      <c r="I7" s="88">
        <f t="shared" si="3"/>
        <v>0.90497737556561086</v>
      </c>
      <c r="J7" s="88">
        <f t="shared" si="3"/>
        <v>0.89285714285714279</v>
      </c>
      <c r="K7" s="88">
        <f t="shared" si="3"/>
        <v>0.88105726872246692</v>
      </c>
      <c r="L7" s="88">
        <f t="shared" si="3"/>
        <v>0.86956521739130443</v>
      </c>
      <c r="M7" s="88">
        <f t="shared" si="3"/>
        <v>0.85836909871244638</v>
      </c>
      <c r="N7" s="88">
        <f t="shared" si="3"/>
        <v>0.84745762711864414</v>
      </c>
      <c r="O7" s="108"/>
    </row>
    <row r="8" spans="1:15" s="100" customFormat="1" ht="12.75" customHeight="1" thickBot="1" x14ac:dyDescent="0.35">
      <c r="A8" s="130"/>
      <c r="B8" s="131" t="s">
        <v>58</v>
      </c>
      <c r="C8" s="132">
        <f t="shared" ref="C8:N8" si="4">C6*C7</f>
        <v>1.1625615763546802</v>
      </c>
      <c r="D8" s="132">
        <f t="shared" si="4"/>
        <v>1.1456310679611652</v>
      </c>
      <c r="E8" s="132">
        <f t="shared" si="4"/>
        <v>2.2583732057416275</v>
      </c>
      <c r="F8" s="132">
        <f t="shared" si="4"/>
        <v>2.2422802850356298</v>
      </c>
      <c r="G8" s="132">
        <f t="shared" si="4"/>
        <v>2.1953488372093024</v>
      </c>
      <c r="H8" s="132">
        <f t="shared" si="4"/>
        <v>2.1651376146788994</v>
      </c>
      <c r="I8" s="132">
        <f t="shared" si="4"/>
        <v>2.135746606334842</v>
      </c>
      <c r="J8" s="132">
        <f t="shared" si="4"/>
        <v>2.1071428571428572</v>
      </c>
      <c r="K8" s="132">
        <f t="shared" si="4"/>
        <v>2.0792951541850222</v>
      </c>
      <c r="L8" s="132">
        <f t="shared" si="4"/>
        <v>2.0521739130434788</v>
      </c>
      <c r="M8" s="132">
        <f t="shared" si="4"/>
        <v>1.012875536480687</v>
      </c>
      <c r="N8" s="132">
        <f t="shared" si="4"/>
        <v>1.0000000000000009</v>
      </c>
      <c r="O8" s="133">
        <f>SUM(C8:N8)</f>
        <v>21.556566654168194</v>
      </c>
    </row>
    <row r="9" spans="1:15" s="101" customFormat="1" ht="12.75" customHeight="1" x14ac:dyDescent="0.3">
      <c r="A9" s="427" t="s">
        <v>77</v>
      </c>
      <c r="B9" s="82" t="s">
        <v>54</v>
      </c>
      <c r="C9" s="90">
        <f>C8*C5</f>
        <v>1.7438423645320202E-2</v>
      </c>
      <c r="D9" s="90">
        <f t="shared" ref="D9:M9" si="5">D8*D5</f>
        <v>3.4368932038834954E-2</v>
      </c>
      <c r="E9" s="90">
        <f t="shared" si="5"/>
        <v>0.10162679425837323</v>
      </c>
      <c r="F9" s="90">
        <f t="shared" si="5"/>
        <v>0.11771971496437056</v>
      </c>
      <c r="G9" s="90">
        <f t="shared" si="5"/>
        <v>0.16465116279069766</v>
      </c>
      <c r="H9" s="90">
        <f t="shared" si="5"/>
        <v>0.19486238532110095</v>
      </c>
      <c r="I9" s="90">
        <f t="shared" si="5"/>
        <v>0.2242533936651584</v>
      </c>
      <c r="J9" s="90">
        <f t="shared" si="5"/>
        <v>0.25285714285714284</v>
      </c>
      <c r="K9" s="90">
        <f t="shared" si="5"/>
        <v>0.28070484581497801</v>
      </c>
      <c r="L9" s="90">
        <f t="shared" si="5"/>
        <v>0.3078260869565218</v>
      </c>
      <c r="M9" s="90">
        <f t="shared" si="5"/>
        <v>0.16712446351931332</v>
      </c>
      <c r="N9" s="90">
        <f>N8*N5</f>
        <v>0.18000000000000016</v>
      </c>
      <c r="O9" s="110">
        <f>SUM(C9:N9)</f>
        <v>2.0434333458318124</v>
      </c>
    </row>
    <row r="10" spans="1:15" s="83" customFormat="1" ht="12.75" customHeight="1" x14ac:dyDescent="0.3">
      <c r="A10" s="428"/>
      <c r="B10" s="96" t="s">
        <v>73</v>
      </c>
      <c r="C10" s="95">
        <f>C8*C11*C2/12</f>
        <v>9.203612479474552E-3</v>
      </c>
      <c r="D10" s="95">
        <f t="shared" ref="D10:N10" si="6">D8*D11*D2/12</f>
        <v>1.8139158576051782E-2</v>
      </c>
      <c r="E10" s="95">
        <f t="shared" si="6"/>
        <v>5.3636363636363656E-2</v>
      </c>
      <c r="F10" s="95">
        <f t="shared" si="6"/>
        <v>6.5399841646872542E-2</v>
      </c>
      <c r="G10" s="95">
        <f t="shared" si="6"/>
        <v>9.1472868217054262E-2</v>
      </c>
      <c r="H10" s="95">
        <f t="shared" si="6"/>
        <v>0.10825688073394497</v>
      </c>
      <c r="I10" s="95">
        <f t="shared" si="6"/>
        <v>0.13704374057315236</v>
      </c>
      <c r="J10" s="95">
        <f t="shared" si="6"/>
        <v>0.15452380952380954</v>
      </c>
      <c r="K10" s="95">
        <f t="shared" si="6"/>
        <v>0.17154185022026433</v>
      </c>
      <c r="L10" s="95">
        <f t="shared" si="6"/>
        <v>0.20521739130434788</v>
      </c>
      <c r="M10" s="95">
        <f t="shared" si="6"/>
        <v>0.11141630901287557</v>
      </c>
      <c r="N10" s="95">
        <f t="shared" si="6"/>
        <v>0.12000000000000011</v>
      </c>
      <c r="O10" s="111">
        <f>SUM(C10:N10)</f>
        <v>1.2458518259242115</v>
      </c>
    </row>
    <row r="11" spans="1:15" ht="12.75" customHeight="1" x14ac:dyDescent="0.3">
      <c r="A11" s="428"/>
      <c r="B11" s="79" t="s">
        <v>28</v>
      </c>
      <c r="C11" s="91">
        <v>9.5000000000000001E-2</v>
      </c>
      <c r="D11" s="91">
        <v>9.5000000000000001E-2</v>
      </c>
      <c r="E11" s="91">
        <v>9.5000000000000001E-2</v>
      </c>
      <c r="F11" s="91">
        <v>0.1</v>
      </c>
      <c r="G11" s="91">
        <v>0.1</v>
      </c>
      <c r="H11" s="91">
        <v>0.1</v>
      </c>
      <c r="I11" s="91">
        <v>0.11</v>
      </c>
      <c r="J11" s="91">
        <v>0.11</v>
      </c>
      <c r="K11" s="91">
        <v>0.11</v>
      </c>
      <c r="L11" s="91">
        <v>0.12</v>
      </c>
      <c r="M11" s="91">
        <v>0.12</v>
      </c>
      <c r="N11" s="91">
        <v>0.12</v>
      </c>
      <c r="O11" s="108"/>
    </row>
    <row r="12" spans="1:15" ht="12.75" customHeight="1" x14ac:dyDescent="0.3">
      <c r="A12" s="428"/>
      <c r="B12" s="96" t="s">
        <v>74</v>
      </c>
      <c r="C12" s="87">
        <f t="shared" ref="C12:N12" si="7">(C9-C10)/1.06*0.06*(1+12%)</f>
        <v>5.2205595315549778E-4</v>
      </c>
      <c r="D12" s="87">
        <f t="shared" si="7"/>
        <v>1.0289063931122916E-3</v>
      </c>
      <c r="E12" s="87">
        <f t="shared" si="7"/>
        <v>3.0424122054707957E-3</v>
      </c>
      <c r="F12" s="87">
        <f t="shared" si="7"/>
        <v>3.316882534845157E-3</v>
      </c>
      <c r="G12" s="87">
        <f t="shared" si="7"/>
        <v>4.6392277314611669E-3</v>
      </c>
      <c r="H12" s="87">
        <f t="shared" si="7"/>
        <v>5.4904621776008323E-3</v>
      </c>
      <c r="I12" s="87">
        <f t="shared" si="7"/>
        <v>5.5287629130026479E-3</v>
      </c>
      <c r="J12" s="87">
        <f t="shared" si="7"/>
        <v>6.2339622641509416E-3</v>
      </c>
      <c r="K12" s="87">
        <f t="shared" si="7"/>
        <v>6.9205219848724143E-3</v>
      </c>
      <c r="L12" s="87">
        <f t="shared" si="7"/>
        <v>6.505004101722724E-3</v>
      </c>
      <c r="M12" s="87">
        <f t="shared" si="7"/>
        <v>3.5316867762571853E-3</v>
      </c>
      <c r="N12" s="87">
        <f t="shared" si="7"/>
        <v>3.8037735849056641E-3</v>
      </c>
      <c r="O12" s="108">
        <f>SUM(C12:N12)</f>
        <v>5.0563658620557311E-2</v>
      </c>
    </row>
    <row r="13" spans="1:15" s="98" customFormat="1" ht="12.75" customHeight="1" x14ac:dyDescent="0.3">
      <c r="A13" s="428"/>
      <c r="B13" s="97" t="s">
        <v>30</v>
      </c>
      <c r="C13" s="102">
        <f t="shared" ref="C13:N13" si="8">$O$13*C9/$O$9</f>
        <v>4.9853497299544398E-3</v>
      </c>
      <c r="D13" s="102">
        <f t="shared" si="8"/>
        <v>9.8254950988422417E-3</v>
      </c>
      <c r="E13" s="102">
        <f t="shared" si="8"/>
        <v>2.9053377852078982E-2</v>
      </c>
      <c r="F13" s="102">
        <f t="shared" si="8"/>
        <v>3.3654071098647306E-2</v>
      </c>
      <c r="G13" s="102">
        <f t="shared" si="8"/>
        <v>4.7070976520034918E-2</v>
      </c>
      <c r="H13" s="102">
        <f t="shared" si="8"/>
        <v>5.5707852945729421E-2</v>
      </c>
      <c r="I13" s="102">
        <f t="shared" si="8"/>
        <v>6.4110244038599606E-2</v>
      </c>
      <c r="J13" s="102">
        <f t="shared" si="8"/>
        <v>7.228757108433935E-2</v>
      </c>
      <c r="K13" s="102">
        <f t="shared" si="8"/>
        <v>8.0248757327108011E-2</v>
      </c>
      <c r="L13" s="102">
        <f t="shared" si="8"/>
        <v>8.8002260450500094E-2</v>
      </c>
      <c r="M13" s="102">
        <f t="shared" si="8"/>
        <v>4.7778051274627732E-2</v>
      </c>
      <c r="N13" s="102">
        <f t="shared" si="8"/>
        <v>5.1458948907495854E-2</v>
      </c>
      <c r="O13" s="112">
        <f>O8*O14</f>
        <v>0.58418295632795803</v>
      </c>
    </row>
    <row r="14" spans="1:15" s="98" customFormat="1" ht="12.75" customHeight="1" x14ac:dyDescent="0.3">
      <c r="A14" s="428"/>
      <c r="B14" s="103" t="s">
        <v>55</v>
      </c>
      <c r="C14" s="104">
        <f t="shared" ref="C14:N14" si="9">C13/C8</f>
        <v>4.2882457422913174E-3</v>
      </c>
      <c r="D14" s="104">
        <f t="shared" si="9"/>
        <v>8.576491484582633E-3</v>
      </c>
      <c r="E14" s="104">
        <f t="shared" si="9"/>
        <v>1.2864737226873953E-2</v>
      </c>
      <c r="F14" s="104">
        <f t="shared" si="9"/>
        <v>1.5008860098019612E-2</v>
      </c>
      <c r="G14" s="104">
        <f t="shared" si="9"/>
        <v>2.1441228711456584E-2</v>
      </c>
      <c r="H14" s="104">
        <f t="shared" si="9"/>
        <v>2.5729474453747906E-2</v>
      </c>
      <c r="I14" s="104">
        <f t="shared" si="9"/>
        <v>3.0017720196039217E-2</v>
      </c>
      <c r="J14" s="104">
        <f t="shared" si="9"/>
        <v>3.4305965938330539E-2</v>
      </c>
      <c r="K14" s="104">
        <f t="shared" si="9"/>
        <v>3.8594211680621861E-2</v>
      </c>
      <c r="L14" s="104">
        <f t="shared" si="9"/>
        <v>4.2882457422913169E-2</v>
      </c>
      <c r="M14" s="104">
        <f t="shared" si="9"/>
        <v>4.7170703165204483E-2</v>
      </c>
      <c r="N14" s="104">
        <f t="shared" si="9"/>
        <v>5.1458948907495805E-2</v>
      </c>
      <c r="O14" s="113">
        <v>2.7099999999999999E-2</v>
      </c>
    </row>
    <row r="15" spans="1:15" s="101" customFormat="1" ht="12.75" customHeight="1" x14ac:dyDescent="0.3">
      <c r="A15" s="428"/>
      <c r="B15" s="124" t="s">
        <v>71</v>
      </c>
      <c r="C15" s="90">
        <f t="shared" ref="C15:O15" si="10">C9-C10-C12-C13</f>
        <v>2.7274054827357121E-3</v>
      </c>
      <c r="D15" s="90">
        <f t="shared" si="10"/>
        <v>5.3753719708286383E-3</v>
      </c>
      <c r="E15" s="90">
        <f t="shared" si="10"/>
        <v>1.58946405644598E-2</v>
      </c>
      <c r="F15" s="90">
        <f t="shared" si="10"/>
        <v>1.5348919684005556E-2</v>
      </c>
      <c r="G15" s="90">
        <f t="shared" si="10"/>
        <v>2.1468090322147318E-2</v>
      </c>
      <c r="H15" s="90">
        <f t="shared" si="10"/>
        <v>2.5407189463825718E-2</v>
      </c>
      <c r="I15" s="90">
        <f t="shared" si="10"/>
        <v>1.7570646140403781E-2</v>
      </c>
      <c r="J15" s="90">
        <f t="shared" si="10"/>
        <v>1.9811799984843004E-2</v>
      </c>
      <c r="K15" s="90">
        <f t="shared" si="10"/>
        <v>2.199371628273325E-2</v>
      </c>
      <c r="L15" s="90">
        <f t="shared" si="10"/>
        <v>8.1014310999511091E-3</v>
      </c>
      <c r="M15" s="90">
        <f t="shared" si="10"/>
        <v>4.3984164555528338E-3</v>
      </c>
      <c r="N15" s="90">
        <f t="shared" si="10"/>
        <v>4.7372775075985377E-3</v>
      </c>
      <c r="O15" s="125">
        <f t="shared" si="10"/>
        <v>0.16283490495908548</v>
      </c>
    </row>
    <row r="16" spans="1:15" s="83" customFormat="1" ht="12.75" customHeight="1" x14ac:dyDescent="0.3">
      <c r="A16" s="428"/>
      <c r="B16" s="84" t="s">
        <v>63</v>
      </c>
      <c r="C16" s="99">
        <f t="shared" ref="C16:O16" si="11">C15/C8</f>
        <v>2.3460309872684296E-3</v>
      </c>
      <c r="D16" s="99">
        <f t="shared" si="11"/>
        <v>4.6920619745368618E-3</v>
      </c>
      <c r="E16" s="99">
        <f t="shared" si="11"/>
        <v>7.0380929618052909E-3</v>
      </c>
      <c r="F16" s="99">
        <f t="shared" si="11"/>
        <v>6.8452279522948495E-3</v>
      </c>
      <c r="G16" s="99">
        <f t="shared" si="11"/>
        <v>9.778897074706935E-3</v>
      </c>
      <c r="H16" s="99">
        <f t="shared" si="11"/>
        <v>1.1734676489648316E-2</v>
      </c>
      <c r="I16" s="99">
        <f t="shared" si="11"/>
        <v>8.2269338920110905E-3</v>
      </c>
      <c r="J16" s="99">
        <f t="shared" si="11"/>
        <v>9.4022101622983738E-3</v>
      </c>
      <c r="K16" s="99">
        <f t="shared" si="11"/>
        <v>1.0577486432585693E-2</v>
      </c>
      <c r="L16" s="99">
        <f t="shared" si="11"/>
        <v>3.9477312563321069E-3</v>
      </c>
      <c r="M16" s="99">
        <f t="shared" si="11"/>
        <v>4.3425043819652967E-3</v>
      </c>
      <c r="N16" s="99">
        <f t="shared" si="11"/>
        <v>4.7372775075985333E-3</v>
      </c>
      <c r="O16" s="114">
        <f t="shared" si="11"/>
        <v>7.5538422964771899E-3</v>
      </c>
    </row>
    <row r="17" spans="1:15" s="100" customFormat="1" ht="12.75" customHeight="1" x14ac:dyDescent="0.3">
      <c r="A17" s="428"/>
      <c r="B17" s="121" t="s">
        <v>75</v>
      </c>
      <c r="C17" s="89">
        <f>C19+C21+C23+C25+C27</f>
        <v>5.4548109654714244E-5</v>
      </c>
      <c r="D17" s="89">
        <f t="shared" ref="D17:E17" si="12">D19+D21+D23+D25+D27</f>
        <v>1.0750743941657276E-4</v>
      </c>
      <c r="E17" s="89">
        <f t="shared" si="12"/>
        <v>3.1789281128919599E-4</v>
      </c>
      <c r="F17" s="89">
        <f>F19+F21+F23+F25+F27</f>
        <v>3.0697839368011115E-4</v>
      </c>
      <c r="G17" s="89">
        <f t="shared" ref="G17:N17" si="13">G19+G21+G23+G25+G27</f>
        <v>4.2936180644294634E-4</v>
      </c>
      <c r="H17" s="89">
        <f t="shared" si="13"/>
        <v>5.0814378927651433E-4</v>
      </c>
      <c r="I17" s="89">
        <f t="shared" si="13"/>
        <v>3.5141292280807562E-4</v>
      </c>
      <c r="J17" s="89">
        <f t="shared" si="13"/>
        <v>3.9623599969686006E-4</v>
      </c>
      <c r="K17" s="89">
        <f t="shared" si="13"/>
        <v>4.39874325654665E-4</v>
      </c>
      <c r="L17" s="89">
        <f t="shared" si="13"/>
        <v>1.6202862199902218E-4</v>
      </c>
      <c r="M17" s="89">
        <f t="shared" si="13"/>
        <v>8.7968329111056681E-5</v>
      </c>
      <c r="N17" s="89">
        <f t="shared" si="13"/>
        <v>9.4745550151970761E-5</v>
      </c>
      <c r="O17" s="123">
        <f>O19+O21+O23+O25+O27</f>
        <v>3.2566980991817051E-3</v>
      </c>
    </row>
    <row r="18" spans="1:15" ht="12.75" customHeight="1" x14ac:dyDescent="0.3">
      <c r="A18" s="428"/>
      <c r="B18" s="79" t="s">
        <v>35</v>
      </c>
      <c r="C18" s="92">
        <f t="shared" ref="C18:O18" si="14">C17/C15</f>
        <v>0.02</v>
      </c>
      <c r="D18" s="92">
        <f t="shared" si="14"/>
        <v>0.02</v>
      </c>
      <c r="E18" s="92">
        <f t="shared" si="14"/>
        <v>0.02</v>
      </c>
      <c r="F18" s="92">
        <f t="shared" si="14"/>
        <v>0.02</v>
      </c>
      <c r="G18" s="92">
        <f t="shared" si="14"/>
        <v>0.02</v>
      </c>
      <c r="H18" s="92">
        <f t="shared" si="14"/>
        <v>0.02</v>
      </c>
      <c r="I18" s="92">
        <f t="shared" si="14"/>
        <v>0.02</v>
      </c>
      <c r="J18" s="92">
        <f t="shared" si="14"/>
        <v>0.02</v>
      </c>
      <c r="K18" s="92">
        <f t="shared" si="14"/>
        <v>0.02</v>
      </c>
      <c r="L18" s="92">
        <f t="shared" si="14"/>
        <v>0.02</v>
      </c>
      <c r="M18" s="92">
        <f t="shared" si="14"/>
        <v>0.02</v>
      </c>
      <c r="N18" s="92">
        <f t="shared" si="14"/>
        <v>0.02</v>
      </c>
      <c r="O18" s="116">
        <f t="shared" si="14"/>
        <v>1.9999999999999973E-2</v>
      </c>
    </row>
    <row r="19" spans="1:15" ht="12.75" customHeight="1" x14ac:dyDescent="0.3">
      <c r="A19" s="428"/>
      <c r="B19" s="96" t="s">
        <v>36</v>
      </c>
      <c r="C19" s="87">
        <f>C$15*C20</f>
        <v>0</v>
      </c>
      <c r="D19" s="87">
        <f t="shared" ref="D19:N19" si="15">D$15*D20</f>
        <v>0</v>
      </c>
      <c r="E19" s="87">
        <f t="shared" si="15"/>
        <v>0</v>
      </c>
      <c r="F19" s="87">
        <f t="shared" si="15"/>
        <v>0</v>
      </c>
      <c r="G19" s="87">
        <f t="shared" si="15"/>
        <v>0</v>
      </c>
      <c r="H19" s="87">
        <f t="shared" si="15"/>
        <v>0</v>
      </c>
      <c r="I19" s="87">
        <f t="shared" si="15"/>
        <v>0</v>
      </c>
      <c r="J19" s="87">
        <f t="shared" si="15"/>
        <v>0</v>
      </c>
      <c r="K19" s="87">
        <f t="shared" si="15"/>
        <v>0</v>
      </c>
      <c r="L19" s="87">
        <f t="shared" si="15"/>
        <v>0</v>
      </c>
      <c r="M19" s="87">
        <f t="shared" si="15"/>
        <v>0</v>
      </c>
      <c r="N19" s="87">
        <f t="shared" si="15"/>
        <v>0</v>
      </c>
      <c r="O19" s="115">
        <f>SUM(C19:N19)</f>
        <v>0</v>
      </c>
    </row>
    <row r="20" spans="1:15" ht="12.75" customHeight="1" x14ac:dyDescent="0.3">
      <c r="A20" s="428"/>
      <c r="B20" s="79" t="s">
        <v>64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117">
        <f>O19/O$15</f>
        <v>0</v>
      </c>
    </row>
    <row r="21" spans="1:15" ht="12.75" customHeight="1" x14ac:dyDescent="0.3">
      <c r="A21" s="428"/>
      <c r="B21" s="96" t="s">
        <v>38</v>
      </c>
      <c r="C21" s="87">
        <f>C$15*C22</f>
        <v>2.7274054827357122E-5</v>
      </c>
      <c r="D21" s="87">
        <f t="shared" ref="D21:N21" si="16">D$15*D22</f>
        <v>5.3753719708286381E-5</v>
      </c>
      <c r="E21" s="87">
        <f t="shared" si="16"/>
        <v>1.58946405644598E-4</v>
      </c>
      <c r="F21" s="87">
        <f t="shared" si="16"/>
        <v>1.5348919684005557E-4</v>
      </c>
      <c r="G21" s="87">
        <f t="shared" si="16"/>
        <v>2.1468090322147317E-4</v>
      </c>
      <c r="H21" s="87">
        <f t="shared" si="16"/>
        <v>2.5407189463825717E-4</v>
      </c>
      <c r="I21" s="87">
        <f t="shared" si="16"/>
        <v>1.7570646140403781E-4</v>
      </c>
      <c r="J21" s="87">
        <f t="shared" si="16"/>
        <v>1.9811799984843003E-4</v>
      </c>
      <c r="K21" s="87">
        <f t="shared" si="16"/>
        <v>2.199371628273325E-4</v>
      </c>
      <c r="L21" s="87">
        <f t="shared" si="16"/>
        <v>8.1014310999511091E-5</v>
      </c>
      <c r="M21" s="87">
        <f t="shared" si="16"/>
        <v>4.398416455552834E-5</v>
      </c>
      <c r="N21" s="87">
        <f t="shared" si="16"/>
        <v>4.7372775075985381E-5</v>
      </c>
      <c r="O21" s="115">
        <f>SUM(C21:N21)</f>
        <v>1.6283490495908525E-3</v>
      </c>
    </row>
    <row r="22" spans="1:15" ht="12.75" customHeight="1" x14ac:dyDescent="0.3">
      <c r="A22" s="428"/>
      <c r="B22" s="79" t="s">
        <v>65</v>
      </c>
      <c r="C22" s="86">
        <v>0.01</v>
      </c>
      <c r="D22" s="86">
        <v>0.01</v>
      </c>
      <c r="E22" s="86">
        <v>0.01</v>
      </c>
      <c r="F22" s="86">
        <v>0.01</v>
      </c>
      <c r="G22" s="86">
        <v>0.01</v>
      </c>
      <c r="H22" s="86">
        <v>0.01</v>
      </c>
      <c r="I22" s="86">
        <v>0.01</v>
      </c>
      <c r="J22" s="86">
        <v>0.01</v>
      </c>
      <c r="K22" s="86">
        <v>0.01</v>
      </c>
      <c r="L22" s="86">
        <v>0.01</v>
      </c>
      <c r="M22" s="86">
        <v>0.01</v>
      </c>
      <c r="N22" s="86">
        <v>0.01</v>
      </c>
      <c r="O22" s="117">
        <f>O21/O$15</f>
        <v>9.9999999999999863E-3</v>
      </c>
    </row>
    <row r="23" spans="1:15" ht="12.75" customHeight="1" x14ac:dyDescent="0.3">
      <c r="A23" s="428"/>
      <c r="B23" s="96" t="s">
        <v>40</v>
      </c>
      <c r="C23" s="87">
        <f>C$15*C24</f>
        <v>2.7274054827357122E-5</v>
      </c>
      <c r="D23" s="87">
        <f t="shared" ref="D23:N23" si="17">D$15*D24</f>
        <v>5.3753719708286381E-5</v>
      </c>
      <c r="E23" s="87">
        <f t="shared" si="17"/>
        <v>1.58946405644598E-4</v>
      </c>
      <c r="F23" s="87">
        <f t="shared" si="17"/>
        <v>1.5348919684005557E-4</v>
      </c>
      <c r="G23" s="87">
        <f t="shared" si="17"/>
        <v>2.1468090322147317E-4</v>
      </c>
      <c r="H23" s="87">
        <f t="shared" si="17"/>
        <v>2.5407189463825717E-4</v>
      </c>
      <c r="I23" s="87">
        <f t="shared" si="17"/>
        <v>1.7570646140403781E-4</v>
      </c>
      <c r="J23" s="87">
        <f t="shared" si="17"/>
        <v>1.9811799984843003E-4</v>
      </c>
      <c r="K23" s="87">
        <f t="shared" si="17"/>
        <v>2.199371628273325E-4</v>
      </c>
      <c r="L23" s="87">
        <f t="shared" si="17"/>
        <v>8.1014310999511091E-5</v>
      </c>
      <c r="M23" s="87">
        <f t="shared" si="17"/>
        <v>4.398416455552834E-5</v>
      </c>
      <c r="N23" s="87">
        <f t="shared" si="17"/>
        <v>4.7372775075985381E-5</v>
      </c>
      <c r="O23" s="115">
        <f>SUM(C23:N23)</f>
        <v>1.6283490495908525E-3</v>
      </c>
    </row>
    <row r="24" spans="1:15" ht="12.75" customHeight="1" x14ac:dyDescent="0.3">
      <c r="A24" s="428"/>
      <c r="B24" s="79" t="s">
        <v>66</v>
      </c>
      <c r="C24" s="86">
        <v>0.01</v>
      </c>
      <c r="D24" s="86">
        <v>0.01</v>
      </c>
      <c r="E24" s="86">
        <v>0.01</v>
      </c>
      <c r="F24" s="86">
        <v>0.01</v>
      </c>
      <c r="G24" s="86">
        <v>0.01</v>
      </c>
      <c r="H24" s="86">
        <v>0.01</v>
      </c>
      <c r="I24" s="86">
        <v>0.01</v>
      </c>
      <c r="J24" s="86">
        <v>0.01</v>
      </c>
      <c r="K24" s="86">
        <v>0.01</v>
      </c>
      <c r="L24" s="86">
        <v>0.01</v>
      </c>
      <c r="M24" s="86">
        <v>0.01</v>
      </c>
      <c r="N24" s="86">
        <v>0.01</v>
      </c>
      <c r="O24" s="117">
        <f>O23/O$15</f>
        <v>9.9999999999999863E-3</v>
      </c>
    </row>
    <row r="25" spans="1:15" ht="12.75" customHeight="1" x14ac:dyDescent="0.3">
      <c r="A25" s="428"/>
      <c r="B25" s="96" t="s">
        <v>42</v>
      </c>
      <c r="C25" s="87">
        <f>C$15*C26</f>
        <v>0</v>
      </c>
      <c r="D25" s="87">
        <f t="shared" ref="D25:N25" si="18">D$15*D26</f>
        <v>0</v>
      </c>
      <c r="E25" s="87">
        <f t="shared" si="18"/>
        <v>0</v>
      </c>
      <c r="F25" s="87">
        <f t="shared" si="18"/>
        <v>0</v>
      </c>
      <c r="G25" s="87">
        <f t="shared" si="18"/>
        <v>0</v>
      </c>
      <c r="H25" s="87">
        <f t="shared" si="18"/>
        <v>0</v>
      </c>
      <c r="I25" s="87">
        <f t="shared" si="18"/>
        <v>0</v>
      </c>
      <c r="J25" s="87">
        <f t="shared" si="18"/>
        <v>0</v>
      </c>
      <c r="K25" s="87">
        <f t="shared" si="18"/>
        <v>0</v>
      </c>
      <c r="L25" s="87">
        <f t="shared" si="18"/>
        <v>0</v>
      </c>
      <c r="M25" s="87">
        <f t="shared" si="18"/>
        <v>0</v>
      </c>
      <c r="N25" s="87">
        <f t="shared" si="18"/>
        <v>0</v>
      </c>
      <c r="O25" s="115">
        <f>SUM(C25:N25)</f>
        <v>0</v>
      </c>
    </row>
    <row r="26" spans="1:15" ht="12.75" customHeight="1" x14ac:dyDescent="0.3">
      <c r="A26" s="428"/>
      <c r="B26" s="79" t="s">
        <v>67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117">
        <f>O25/O$15</f>
        <v>0</v>
      </c>
    </row>
    <row r="27" spans="1:15" ht="12.75" customHeight="1" x14ac:dyDescent="0.3">
      <c r="A27" s="428"/>
      <c r="B27" s="96" t="s">
        <v>44</v>
      </c>
      <c r="C27" s="87">
        <f>C$15*C28</f>
        <v>0</v>
      </c>
      <c r="D27" s="87">
        <f t="shared" ref="D27:N27" si="19">D$15*D28</f>
        <v>0</v>
      </c>
      <c r="E27" s="87">
        <f t="shared" si="19"/>
        <v>0</v>
      </c>
      <c r="F27" s="87">
        <f t="shared" si="19"/>
        <v>0</v>
      </c>
      <c r="G27" s="87">
        <f t="shared" si="19"/>
        <v>0</v>
      </c>
      <c r="H27" s="87">
        <f t="shared" si="19"/>
        <v>0</v>
      </c>
      <c r="I27" s="87">
        <f t="shared" si="19"/>
        <v>0</v>
      </c>
      <c r="J27" s="87">
        <f t="shared" si="19"/>
        <v>0</v>
      </c>
      <c r="K27" s="87">
        <f t="shared" si="19"/>
        <v>0</v>
      </c>
      <c r="L27" s="87">
        <f t="shared" si="19"/>
        <v>0</v>
      </c>
      <c r="M27" s="87">
        <f t="shared" si="19"/>
        <v>0</v>
      </c>
      <c r="N27" s="87">
        <f t="shared" si="19"/>
        <v>0</v>
      </c>
      <c r="O27" s="115">
        <f>SUM(C27:N27)</f>
        <v>0</v>
      </c>
    </row>
    <row r="28" spans="1:15" ht="12.75" customHeight="1" x14ac:dyDescent="0.3">
      <c r="A28" s="428"/>
      <c r="B28" s="80" t="s">
        <v>68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117">
        <f>O27/O$15</f>
        <v>0</v>
      </c>
    </row>
    <row r="29" spans="1:15" s="100" customFormat="1" ht="12.75" customHeight="1" x14ac:dyDescent="0.3">
      <c r="A29" s="428"/>
      <c r="B29" s="121" t="s">
        <v>70</v>
      </c>
      <c r="C29" s="89">
        <f t="shared" ref="C29:N29" si="20">C15-C17</f>
        <v>2.6728573730809978E-3</v>
      </c>
      <c r="D29" s="89">
        <f t="shared" si="20"/>
        <v>5.2678645314120651E-3</v>
      </c>
      <c r="E29" s="89">
        <f t="shared" si="20"/>
        <v>1.5576747753170604E-2</v>
      </c>
      <c r="F29" s="89">
        <f t="shared" si="20"/>
        <v>1.5041941290325446E-2</v>
      </c>
      <c r="G29" s="89">
        <f t="shared" si="20"/>
        <v>2.1038728515704371E-2</v>
      </c>
      <c r="H29" s="89">
        <f t="shared" si="20"/>
        <v>2.4899045674549203E-2</v>
      </c>
      <c r="I29" s="89">
        <f t="shared" si="20"/>
        <v>1.7219233217595706E-2</v>
      </c>
      <c r="J29" s="89">
        <f t="shared" si="20"/>
        <v>1.9415563985146142E-2</v>
      </c>
      <c r="K29" s="89">
        <f t="shared" si="20"/>
        <v>2.1553841957078584E-2</v>
      </c>
      <c r="L29" s="89">
        <f t="shared" si="20"/>
        <v>7.9394024779520875E-3</v>
      </c>
      <c r="M29" s="89">
        <f t="shared" si="20"/>
        <v>4.3104481264417769E-3</v>
      </c>
      <c r="N29" s="89">
        <f t="shared" si="20"/>
        <v>4.6425319574465666E-3</v>
      </c>
      <c r="O29" s="122">
        <f>SUM(C29:N29)</f>
        <v>0.15957820685990354</v>
      </c>
    </row>
    <row r="30" spans="1:15" ht="12.75" customHeight="1" thickBot="1" x14ac:dyDescent="0.35">
      <c r="A30" s="429"/>
      <c r="B30" s="81" t="s">
        <v>57</v>
      </c>
      <c r="C30" s="94">
        <f t="shared" ref="C30:O30" si="21">C29/C9</f>
        <v>0.1532740245015374</v>
      </c>
      <c r="D30" s="94">
        <f t="shared" si="21"/>
        <v>0.15327402450153749</v>
      </c>
      <c r="E30" s="94">
        <f t="shared" si="21"/>
        <v>0.15327402450153746</v>
      </c>
      <c r="F30" s="94">
        <f t="shared" si="21"/>
        <v>0.12777758844283721</v>
      </c>
      <c r="G30" s="94">
        <f t="shared" si="21"/>
        <v>0.12777758844283729</v>
      </c>
      <c r="H30" s="94">
        <f t="shared" si="21"/>
        <v>0.12777758844283724</v>
      </c>
      <c r="I30" s="94">
        <f t="shared" si="21"/>
        <v>7.6784716325436861E-2</v>
      </c>
      <c r="J30" s="94">
        <f t="shared" si="21"/>
        <v>7.6784716325436722E-2</v>
      </c>
      <c r="K30" s="94">
        <f t="shared" si="21"/>
        <v>7.6784716325436875E-2</v>
      </c>
      <c r="L30" s="94">
        <f t="shared" si="21"/>
        <v>2.5791844208036437E-2</v>
      </c>
      <c r="M30" s="94">
        <f t="shared" si="21"/>
        <v>2.5791844208036312E-2</v>
      </c>
      <c r="N30" s="94">
        <f t="shared" si="21"/>
        <v>2.5791844208036457E-2</v>
      </c>
      <c r="O30" s="118">
        <f t="shared" si="21"/>
        <v>7.8093179396044682E-2</v>
      </c>
    </row>
    <row r="31" spans="1:15" s="101" customFormat="1" ht="12.75" customHeight="1" x14ac:dyDescent="0.3">
      <c r="A31" s="427" t="s">
        <v>78</v>
      </c>
      <c r="B31" s="82" t="s">
        <v>54</v>
      </c>
      <c r="C31" s="90">
        <f>C9</f>
        <v>1.7438423645320202E-2</v>
      </c>
      <c r="D31" s="90">
        <f t="shared" ref="D31:O31" si="22">D9</f>
        <v>3.4368932038834954E-2</v>
      </c>
      <c r="E31" s="90">
        <f t="shared" si="22"/>
        <v>0.10162679425837323</v>
      </c>
      <c r="F31" s="90">
        <f t="shared" si="22"/>
        <v>0.11771971496437056</v>
      </c>
      <c r="G31" s="90">
        <f t="shared" si="22"/>
        <v>0.16465116279069766</v>
      </c>
      <c r="H31" s="90">
        <f t="shared" si="22"/>
        <v>0.19486238532110095</v>
      </c>
      <c r="I31" s="90">
        <f t="shared" si="22"/>
        <v>0.2242533936651584</v>
      </c>
      <c r="J31" s="90">
        <f t="shared" si="22"/>
        <v>0.25285714285714284</v>
      </c>
      <c r="K31" s="90">
        <f t="shared" si="22"/>
        <v>0.28070484581497801</v>
      </c>
      <c r="L31" s="90">
        <f t="shared" si="22"/>
        <v>0.3078260869565218</v>
      </c>
      <c r="M31" s="90">
        <f t="shared" si="22"/>
        <v>0.16712446351931332</v>
      </c>
      <c r="N31" s="90">
        <f t="shared" si="22"/>
        <v>0.18000000000000016</v>
      </c>
      <c r="O31" s="90">
        <f t="shared" si="22"/>
        <v>2.0434333458318124</v>
      </c>
    </row>
    <row r="32" spans="1:15" s="83" customFormat="1" ht="12.75" customHeight="1" x14ac:dyDescent="0.3">
      <c r="A32" s="428"/>
      <c r="B32" s="96" t="s">
        <v>72</v>
      </c>
      <c r="C32" s="95">
        <f>C8*C33*(C2-1)/12</f>
        <v>0</v>
      </c>
      <c r="D32" s="95">
        <f>D8*D33*(D2-1)/12</f>
        <v>9.0695792880258908E-3</v>
      </c>
      <c r="E32" s="95">
        <f t="shared" ref="E32:N32" si="23">E8*E33*(E2-1)/12</f>
        <v>3.5757575757575773E-2</v>
      </c>
      <c r="F32" s="95">
        <f t="shared" si="23"/>
        <v>4.6714172604908955E-2</v>
      </c>
      <c r="G32" s="95">
        <f t="shared" si="23"/>
        <v>7.3178294573643415E-2</v>
      </c>
      <c r="H32" s="95">
        <f t="shared" si="23"/>
        <v>9.0214067278287471E-2</v>
      </c>
      <c r="I32" s="95">
        <f t="shared" si="23"/>
        <v>0.11746606334841632</v>
      </c>
      <c r="J32" s="95">
        <f t="shared" si="23"/>
        <v>0.13520833333333335</v>
      </c>
      <c r="K32" s="95">
        <f t="shared" si="23"/>
        <v>0.15248164464023498</v>
      </c>
      <c r="L32" s="95">
        <f t="shared" si="23"/>
        <v>0.18469565217391307</v>
      </c>
      <c r="M32" s="95">
        <f t="shared" si="23"/>
        <v>0.1012875536480687</v>
      </c>
      <c r="N32" s="95">
        <f t="shared" si="23"/>
        <v>0.1100000000000001</v>
      </c>
      <c r="O32" s="111">
        <f>SUM(C32:N32)</f>
        <v>1.0560729366464079</v>
      </c>
    </row>
    <row r="33" spans="1:15" ht="12.75" customHeight="1" x14ac:dyDescent="0.3">
      <c r="A33" s="428"/>
      <c r="B33" s="79" t="s">
        <v>28</v>
      </c>
      <c r="C33" s="105">
        <f>C11</f>
        <v>9.5000000000000001E-2</v>
      </c>
      <c r="D33" s="105">
        <f t="shared" ref="D33:N33" si="24">D11</f>
        <v>9.5000000000000001E-2</v>
      </c>
      <c r="E33" s="105">
        <f t="shared" si="24"/>
        <v>9.5000000000000001E-2</v>
      </c>
      <c r="F33" s="105">
        <f t="shared" si="24"/>
        <v>0.1</v>
      </c>
      <c r="G33" s="105">
        <f t="shared" si="24"/>
        <v>0.1</v>
      </c>
      <c r="H33" s="105">
        <f t="shared" si="24"/>
        <v>0.1</v>
      </c>
      <c r="I33" s="105">
        <f t="shared" si="24"/>
        <v>0.11</v>
      </c>
      <c r="J33" s="105">
        <f t="shared" si="24"/>
        <v>0.11</v>
      </c>
      <c r="K33" s="105">
        <f t="shared" si="24"/>
        <v>0.11</v>
      </c>
      <c r="L33" s="105">
        <f t="shared" si="24"/>
        <v>0.12</v>
      </c>
      <c r="M33" s="105">
        <f t="shared" si="24"/>
        <v>0.12</v>
      </c>
      <c r="N33" s="105">
        <f t="shared" si="24"/>
        <v>0.12</v>
      </c>
      <c r="O33" s="105"/>
    </row>
    <row r="34" spans="1:15" ht="12.75" customHeight="1" x14ac:dyDescent="0.3">
      <c r="A34" s="428"/>
      <c r="B34" s="96" t="s">
        <v>60</v>
      </c>
      <c r="C34" s="87">
        <f t="shared" ref="C34:N34" si="25">(C31-C32)/1.06*0.06*(1+12%)</f>
        <v>1.1055302537410544E-3</v>
      </c>
      <c r="D34" s="87">
        <f t="shared" si="25"/>
        <v>1.6038834951456313E-3</v>
      </c>
      <c r="E34" s="87">
        <f t="shared" si="25"/>
        <v>4.1758598898618774E-3</v>
      </c>
      <c r="F34" s="87">
        <f t="shared" si="25"/>
        <v>4.5014834401470001E-3</v>
      </c>
      <c r="G34" s="87">
        <f t="shared" si="25"/>
        <v>5.7990346643264573E-3</v>
      </c>
      <c r="H34" s="87">
        <f t="shared" si="25"/>
        <v>6.6343084646010046E-3</v>
      </c>
      <c r="I34" s="87">
        <f t="shared" si="25"/>
        <v>6.7699137710236492E-3</v>
      </c>
      <c r="J34" s="87">
        <f t="shared" si="25"/>
        <v>7.458490566037734E-3</v>
      </c>
      <c r="K34" s="87">
        <f t="shared" si="25"/>
        <v>8.1288670933422E-3</v>
      </c>
      <c r="L34" s="87">
        <f t="shared" si="25"/>
        <v>7.8060049220672707E-3</v>
      </c>
      <c r="M34" s="87">
        <f t="shared" si="25"/>
        <v>4.1738116446675836E-3</v>
      </c>
      <c r="N34" s="87">
        <f t="shared" si="25"/>
        <v>4.437735849056608E-3</v>
      </c>
      <c r="O34" s="108">
        <f>SUM(C34:N34)</f>
        <v>6.2594924054018064E-2</v>
      </c>
    </row>
    <row r="35" spans="1:15" s="98" customFormat="1" ht="12.75" customHeight="1" x14ac:dyDescent="0.3">
      <c r="A35" s="428"/>
      <c r="B35" s="96" t="s">
        <v>30</v>
      </c>
      <c r="C35" s="95">
        <f>C13</f>
        <v>4.9853497299544398E-3</v>
      </c>
      <c r="D35" s="95">
        <f t="shared" ref="D35:O36" si="26">D13</f>
        <v>9.8254950988422417E-3</v>
      </c>
      <c r="E35" s="95">
        <f t="shared" si="26"/>
        <v>2.9053377852078982E-2</v>
      </c>
      <c r="F35" s="95">
        <f t="shared" si="26"/>
        <v>3.3654071098647306E-2</v>
      </c>
      <c r="G35" s="95">
        <f t="shared" si="26"/>
        <v>4.7070976520034918E-2</v>
      </c>
      <c r="H35" s="95">
        <f t="shared" si="26"/>
        <v>5.5707852945729421E-2</v>
      </c>
      <c r="I35" s="95">
        <f t="shared" si="26"/>
        <v>6.4110244038599606E-2</v>
      </c>
      <c r="J35" s="95">
        <f t="shared" si="26"/>
        <v>7.228757108433935E-2</v>
      </c>
      <c r="K35" s="95">
        <f t="shared" si="26"/>
        <v>8.0248757327108011E-2</v>
      </c>
      <c r="L35" s="95">
        <f t="shared" si="26"/>
        <v>8.8002260450500094E-2</v>
      </c>
      <c r="M35" s="95">
        <f t="shared" si="26"/>
        <v>4.7778051274627732E-2</v>
      </c>
      <c r="N35" s="95">
        <f t="shared" si="26"/>
        <v>5.1458948907495854E-2</v>
      </c>
      <c r="O35" s="95">
        <f t="shared" si="26"/>
        <v>0.58418295632795803</v>
      </c>
    </row>
    <row r="36" spans="1:15" s="98" customFormat="1" ht="12.75" customHeight="1" x14ac:dyDescent="0.3">
      <c r="A36" s="428"/>
      <c r="B36" s="80" t="s">
        <v>55</v>
      </c>
      <c r="C36" s="120">
        <f>C14</f>
        <v>4.2882457422913174E-3</v>
      </c>
      <c r="D36" s="120">
        <f t="shared" si="26"/>
        <v>8.576491484582633E-3</v>
      </c>
      <c r="E36" s="120">
        <f t="shared" si="26"/>
        <v>1.2864737226873953E-2</v>
      </c>
      <c r="F36" s="120">
        <f t="shared" si="26"/>
        <v>1.5008860098019612E-2</v>
      </c>
      <c r="G36" s="120">
        <f t="shared" si="26"/>
        <v>2.1441228711456584E-2</v>
      </c>
      <c r="H36" s="120">
        <f t="shared" si="26"/>
        <v>2.5729474453747906E-2</v>
      </c>
      <c r="I36" s="120">
        <f t="shared" si="26"/>
        <v>3.0017720196039217E-2</v>
      </c>
      <c r="J36" s="120">
        <f t="shared" si="26"/>
        <v>3.4305965938330539E-2</v>
      </c>
      <c r="K36" s="120">
        <f t="shared" si="26"/>
        <v>3.8594211680621861E-2</v>
      </c>
      <c r="L36" s="120">
        <f t="shared" si="26"/>
        <v>4.2882457422913169E-2</v>
      </c>
      <c r="M36" s="120">
        <f t="shared" si="26"/>
        <v>4.7170703165204483E-2</v>
      </c>
      <c r="N36" s="120">
        <f t="shared" si="26"/>
        <v>5.1458948907495805E-2</v>
      </c>
      <c r="O36" s="120">
        <f t="shared" si="26"/>
        <v>2.7099999999999999E-2</v>
      </c>
    </row>
    <row r="37" spans="1:15" s="101" customFormat="1" ht="12.75" customHeight="1" x14ac:dyDescent="0.3">
      <c r="A37" s="428"/>
      <c r="B37" s="124" t="s">
        <v>62</v>
      </c>
      <c r="C37" s="90">
        <f t="shared" ref="C37:N37" si="27">C31-C32-C34-C35</f>
        <v>1.1347543661624708E-2</v>
      </c>
      <c r="D37" s="90">
        <f t="shared" si="27"/>
        <v>1.3869974156821193E-2</v>
      </c>
      <c r="E37" s="90">
        <f t="shared" si="27"/>
        <v>3.2639980758856608E-2</v>
      </c>
      <c r="F37" s="90">
        <f t="shared" si="27"/>
        <v>3.2849987820667295E-2</v>
      </c>
      <c r="G37" s="90">
        <f t="shared" si="27"/>
        <v>3.8602857032692867E-2</v>
      </c>
      <c r="H37" s="90">
        <f t="shared" si="27"/>
        <v>4.2306156632483057E-2</v>
      </c>
      <c r="I37" s="90">
        <f t="shared" si="27"/>
        <v>3.590717250711882E-2</v>
      </c>
      <c r="J37" s="90">
        <f t="shared" si="27"/>
        <v>3.790274787343241E-2</v>
      </c>
      <c r="K37" s="90">
        <f t="shared" si="27"/>
        <v>3.9845576754292816E-2</v>
      </c>
      <c r="L37" s="90">
        <f t="shared" si="27"/>
        <v>2.7322169410041369E-2</v>
      </c>
      <c r="M37" s="90">
        <f t="shared" si="27"/>
        <v>1.3885046951949302E-2</v>
      </c>
      <c r="N37" s="90">
        <f t="shared" si="27"/>
        <v>1.4103315243447608E-2</v>
      </c>
      <c r="O37" s="110">
        <f>SUM(C37:N37)</f>
        <v>0.3405825288034281</v>
      </c>
    </row>
    <row r="38" spans="1:15" s="83" customFormat="1" ht="12.75" customHeight="1" x14ac:dyDescent="0.3">
      <c r="A38" s="428"/>
      <c r="B38" s="84" t="s">
        <v>56</v>
      </c>
      <c r="C38" s="126">
        <f>C37/C8</f>
        <v>9.7608108614822674E-3</v>
      </c>
      <c r="D38" s="126">
        <f t="shared" ref="D38:O38" si="28">D37/D8</f>
        <v>1.2106841848750702E-2</v>
      </c>
      <c r="E38" s="126">
        <f t="shared" si="28"/>
        <v>1.4452872836019129E-2</v>
      </c>
      <c r="F38" s="126">
        <f t="shared" si="28"/>
        <v>1.4650259398835731E-2</v>
      </c>
      <c r="G38" s="126">
        <f t="shared" si="28"/>
        <v>1.7583928521247811E-2</v>
      </c>
      <c r="H38" s="126">
        <f t="shared" si="28"/>
        <v>1.9539707936189206E-2</v>
      </c>
      <c r="I38" s="126">
        <f t="shared" si="28"/>
        <v>1.6812468483206056E-2</v>
      </c>
      <c r="J38" s="126">
        <f t="shared" si="28"/>
        <v>1.7987744753493348E-2</v>
      </c>
      <c r="K38" s="126">
        <f t="shared" si="28"/>
        <v>1.9163021023780653E-2</v>
      </c>
      <c r="L38" s="126">
        <f t="shared" si="28"/>
        <v>1.3313768992181172E-2</v>
      </c>
      <c r="M38" s="126">
        <f t="shared" si="28"/>
        <v>1.3708542117814349E-2</v>
      </c>
      <c r="N38" s="126">
        <f t="shared" si="28"/>
        <v>1.4103315243447595E-2</v>
      </c>
      <c r="O38" s="127">
        <f t="shared" si="28"/>
        <v>1.5799479307971005E-2</v>
      </c>
    </row>
    <row r="39" spans="1:15" s="100" customFormat="1" ht="12.75" customHeight="1" collapsed="1" x14ac:dyDescent="0.3">
      <c r="A39" s="428"/>
      <c r="B39" s="121" t="s">
        <v>76</v>
      </c>
      <c r="C39" s="89">
        <f>C41+C43+C45+C47+C49</f>
        <v>2.2695087323249417E-4</v>
      </c>
      <c r="D39" s="89">
        <f t="shared" ref="D39:E39" si="29">D41+D43+D45+D47+D49</f>
        <v>2.7739948313642388E-4</v>
      </c>
      <c r="E39" s="89">
        <f t="shared" si="29"/>
        <v>6.5279961517713213E-4</v>
      </c>
      <c r="F39" s="89">
        <f>F41+F43+F45+F47+F49</f>
        <v>6.5699975641334593E-4</v>
      </c>
      <c r="G39" s="89">
        <f t="shared" ref="G39:N39" si="30">G41+G43+G45+G47+G49</f>
        <v>7.7205714065385731E-4</v>
      </c>
      <c r="H39" s="89">
        <f t="shared" si="30"/>
        <v>8.4612313264966117E-4</v>
      </c>
      <c r="I39" s="89">
        <f t="shared" si="30"/>
        <v>7.1814345014237647E-4</v>
      </c>
      <c r="J39" s="89">
        <f t="shared" si="30"/>
        <v>7.5805495746864818E-4</v>
      </c>
      <c r="K39" s="89">
        <f t="shared" si="30"/>
        <v>7.9691153508585635E-4</v>
      </c>
      <c r="L39" s="89">
        <f t="shared" si="30"/>
        <v>5.4644338820082736E-4</v>
      </c>
      <c r="M39" s="89">
        <f t="shared" si="30"/>
        <v>2.7770093903898603E-4</v>
      </c>
      <c r="N39" s="89">
        <f t="shared" si="30"/>
        <v>2.8206630486895217E-4</v>
      </c>
      <c r="O39" s="123">
        <f>SUM(C39:N39)</f>
        <v>6.8116505760685607E-3</v>
      </c>
    </row>
    <row r="40" spans="1:15" ht="12.75" customHeight="1" x14ac:dyDescent="0.3">
      <c r="A40" s="428"/>
      <c r="B40" s="79" t="s">
        <v>35</v>
      </c>
      <c r="C40" s="92">
        <f t="shared" ref="C40:O40" si="31">C39/C37</f>
        <v>0.02</v>
      </c>
      <c r="D40" s="92">
        <f t="shared" si="31"/>
        <v>0.02</v>
      </c>
      <c r="E40" s="92">
        <f t="shared" si="31"/>
        <v>0.02</v>
      </c>
      <c r="F40" s="92">
        <f t="shared" si="31"/>
        <v>0.02</v>
      </c>
      <c r="G40" s="92">
        <f t="shared" si="31"/>
        <v>0.02</v>
      </c>
      <c r="H40" s="92">
        <f t="shared" si="31"/>
        <v>0.02</v>
      </c>
      <c r="I40" s="92">
        <f t="shared" si="31"/>
        <v>0.02</v>
      </c>
      <c r="J40" s="92">
        <f t="shared" si="31"/>
        <v>0.02</v>
      </c>
      <c r="K40" s="92">
        <f t="shared" si="31"/>
        <v>0.02</v>
      </c>
      <c r="L40" s="92">
        <f t="shared" si="31"/>
        <v>0.02</v>
      </c>
      <c r="M40" s="92">
        <f t="shared" si="31"/>
        <v>0.02</v>
      </c>
      <c r="N40" s="92">
        <f t="shared" si="31"/>
        <v>0.02</v>
      </c>
      <c r="O40" s="116">
        <f t="shared" si="31"/>
        <v>1.9999999999999997E-2</v>
      </c>
    </row>
    <row r="41" spans="1:15" ht="12.75" customHeight="1" x14ac:dyDescent="0.3">
      <c r="A41" s="428"/>
      <c r="B41" s="96" t="s">
        <v>36</v>
      </c>
      <c r="C41" s="87">
        <f>C$37*C42</f>
        <v>0</v>
      </c>
      <c r="D41" s="87">
        <f t="shared" ref="D41:N41" si="32">D$37*D42</f>
        <v>0</v>
      </c>
      <c r="E41" s="87">
        <f t="shared" si="32"/>
        <v>0</v>
      </c>
      <c r="F41" s="87">
        <f t="shared" si="32"/>
        <v>0</v>
      </c>
      <c r="G41" s="87">
        <f t="shared" si="32"/>
        <v>0</v>
      </c>
      <c r="H41" s="87">
        <f t="shared" si="32"/>
        <v>0</v>
      </c>
      <c r="I41" s="87">
        <f t="shared" si="32"/>
        <v>0</v>
      </c>
      <c r="J41" s="87">
        <f t="shared" si="32"/>
        <v>0</v>
      </c>
      <c r="K41" s="87">
        <f t="shared" si="32"/>
        <v>0</v>
      </c>
      <c r="L41" s="87">
        <f t="shared" si="32"/>
        <v>0</v>
      </c>
      <c r="M41" s="87">
        <f t="shared" si="32"/>
        <v>0</v>
      </c>
      <c r="N41" s="87">
        <f t="shared" si="32"/>
        <v>0</v>
      </c>
      <c r="O41" s="115">
        <f>SUM(C41:N41)</f>
        <v>0</v>
      </c>
    </row>
    <row r="42" spans="1:15" ht="12.75" customHeight="1" x14ac:dyDescent="0.3">
      <c r="A42" s="428"/>
      <c r="B42" s="79" t="s">
        <v>64</v>
      </c>
      <c r="C42" s="105">
        <f>C20</f>
        <v>0</v>
      </c>
      <c r="D42" s="105">
        <f t="shared" ref="D42:O50" si="33">D20</f>
        <v>0</v>
      </c>
      <c r="E42" s="105">
        <f t="shared" si="33"/>
        <v>0</v>
      </c>
      <c r="F42" s="105">
        <f t="shared" si="33"/>
        <v>0</v>
      </c>
      <c r="G42" s="105">
        <f t="shared" si="33"/>
        <v>0</v>
      </c>
      <c r="H42" s="105">
        <f t="shared" si="33"/>
        <v>0</v>
      </c>
      <c r="I42" s="105">
        <f t="shared" si="33"/>
        <v>0</v>
      </c>
      <c r="J42" s="105">
        <f t="shared" si="33"/>
        <v>0</v>
      </c>
      <c r="K42" s="105">
        <f t="shared" si="33"/>
        <v>0</v>
      </c>
      <c r="L42" s="105">
        <f t="shared" si="33"/>
        <v>0</v>
      </c>
      <c r="M42" s="105">
        <f t="shared" si="33"/>
        <v>0</v>
      </c>
      <c r="N42" s="105">
        <f t="shared" si="33"/>
        <v>0</v>
      </c>
      <c r="O42" s="105">
        <f>O20</f>
        <v>0</v>
      </c>
    </row>
    <row r="43" spans="1:15" ht="12.75" customHeight="1" x14ac:dyDescent="0.3">
      <c r="A43" s="428"/>
      <c r="B43" s="96" t="s">
        <v>38</v>
      </c>
      <c r="C43" s="87">
        <f>C$37*C44</f>
        <v>1.1347543661624708E-4</v>
      </c>
      <c r="D43" s="87">
        <f t="shared" ref="D43:N43" si="34">D$37*D44</f>
        <v>1.3869974156821194E-4</v>
      </c>
      <c r="E43" s="87">
        <f t="shared" si="34"/>
        <v>3.2639980758856607E-4</v>
      </c>
      <c r="F43" s="87">
        <f t="shared" si="34"/>
        <v>3.2849987820667296E-4</v>
      </c>
      <c r="G43" s="87">
        <f t="shared" si="34"/>
        <v>3.8602857032692865E-4</v>
      </c>
      <c r="H43" s="87">
        <f t="shared" si="34"/>
        <v>4.2306156632483058E-4</v>
      </c>
      <c r="I43" s="87">
        <f t="shared" si="34"/>
        <v>3.5907172507118824E-4</v>
      </c>
      <c r="J43" s="87">
        <f t="shared" si="34"/>
        <v>3.7902747873432409E-4</v>
      </c>
      <c r="K43" s="87">
        <f t="shared" si="34"/>
        <v>3.9845576754292817E-4</v>
      </c>
      <c r="L43" s="87">
        <f t="shared" si="34"/>
        <v>2.7322169410041368E-4</v>
      </c>
      <c r="M43" s="87">
        <f t="shared" si="34"/>
        <v>1.3885046951949301E-4</v>
      </c>
      <c r="N43" s="87">
        <f t="shared" si="34"/>
        <v>1.4103315243447608E-4</v>
      </c>
      <c r="O43" s="115">
        <f>SUM(C43:N43)</f>
        <v>3.4058252880342804E-3</v>
      </c>
    </row>
    <row r="44" spans="1:15" ht="12.75" customHeight="1" x14ac:dyDescent="0.3">
      <c r="A44" s="428"/>
      <c r="B44" s="79" t="s">
        <v>65</v>
      </c>
      <c r="C44" s="105">
        <f>C22</f>
        <v>0.01</v>
      </c>
      <c r="D44" s="105">
        <f t="shared" si="33"/>
        <v>0.01</v>
      </c>
      <c r="E44" s="105">
        <f t="shared" si="33"/>
        <v>0.01</v>
      </c>
      <c r="F44" s="105">
        <f t="shared" si="33"/>
        <v>0.01</v>
      </c>
      <c r="G44" s="105">
        <f t="shared" si="33"/>
        <v>0.01</v>
      </c>
      <c r="H44" s="105">
        <f t="shared" si="33"/>
        <v>0.01</v>
      </c>
      <c r="I44" s="105">
        <f t="shared" si="33"/>
        <v>0.01</v>
      </c>
      <c r="J44" s="105">
        <f t="shared" si="33"/>
        <v>0.01</v>
      </c>
      <c r="K44" s="105">
        <f t="shared" si="33"/>
        <v>0.01</v>
      </c>
      <c r="L44" s="105">
        <f t="shared" si="33"/>
        <v>0.01</v>
      </c>
      <c r="M44" s="105">
        <f t="shared" si="33"/>
        <v>0.01</v>
      </c>
      <c r="N44" s="105">
        <f t="shared" si="33"/>
        <v>0.01</v>
      </c>
      <c r="O44" s="105">
        <f t="shared" si="33"/>
        <v>9.9999999999999863E-3</v>
      </c>
    </row>
    <row r="45" spans="1:15" ht="12.75" customHeight="1" x14ac:dyDescent="0.3">
      <c r="A45" s="428"/>
      <c r="B45" s="96" t="s">
        <v>40</v>
      </c>
      <c r="C45" s="87">
        <f>C$37*C46</f>
        <v>1.1347543661624708E-4</v>
      </c>
      <c r="D45" s="87">
        <f t="shared" ref="D45:N45" si="35">D$37*D46</f>
        <v>1.3869974156821194E-4</v>
      </c>
      <c r="E45" s="87">
        <f t="shared" si="35"/>
        <v>3.2639980758856607E-4</v>
      </c>
      <c r="F45" s="87">
        <f t="shared" si="35"/>
        <v>3.2849987820667296E-4</v>
      </c>
      <c r="G45" s="87">
        <f t="shared" si="35"/>
        <v>3.8602857032692865E-4</v>
      </c>
      <c r="H45" s="87">
        <f t="shared" si="35"/>
        <v>4.2306156632483058E-4</v>
      </c>
      <c r="I45" s="87">
        <f t="shared" si="35"/>
        <v>3.5907172507118824E-4</v>
      </c>
      <c r="J45" s="87">
        <f t="shared" si="35"/>
        <v>3.7902747873432409E-4</v>
      </c>
      <c r="K45" s="87">
        <f t="shared" si="35"/>
        <v>3.9845576754292817E-4</v>
      </c>
      <c r="L45" s="87">
        <f t="shared" si="35"/>
        <v>2.7322169410041368E-4</v>
      </c>
      <c r="M45" s="87">
        <f t="shared" si="35"/>
        <v>1.3885046951949301E-4</v>
      </c>
      <c r="N45" s="87">
        <f t="shared" si="35"/>
        <v>1.4103315243447608E-4</v>
      </c>
      <c r="O45" s="115">
        <f>SUM(C45:N45)</f>
        <v>3.4058252880342804E-3</v>
      </c>
    </row>
    <row r="46" spans="1:15" ht="12.75" customHeight="1" x14ac:dyDescent="0.3">
      <c r="A46" s="428"/>
      <c r="B46" s="79" t="s">
        <v>66</v>
      </c>
      <c r="C46" s="105">
        <f>C24</f>
        <v>0.01</v>
      </c>
      <c r="D46" s="105">
        <f t="shared" si="33"/>
        <v>0.01</v>
      </c>
      <c r="E46" s="105">
        <f t="shared" si="33"/>
        <v>0.01</v>
      </c>
      <c r="F46" s="105">
        <f t="shared" si="33"/>
        <v>0.01</v>
      </c>
      <c r="G46" s="105">
        <f t="shared" si="33"/>
        <v>0.01</v>
      </c>
      <c r="H46" s="105">
        <f t="shared" si="33"/>
        <v>0.01</v>
      </c>
      <c r="I46" s="105">
        <f t="shared" si="33"/>
        <v>0.01</v>
      </c>
      <c r="J46" s="105">
        <f t="shared" si="33"/>
        <v>0.01</v>
      </c>
      <c r="K46" s="105">
        <f t="shared" si="33"/>
        <v>0.01</v>
      </c>
      <c r="L46" s="105">
        <f t="shared" si="33"/>
        <v>0.01</v>
      </c>
      <c r="M46" s="105">
        <f t="shared" si="33"/>
        <v>0.01</v>
      </c>
      <c r="N46" s="105">
        <f t="shared" si="33"/>
        <v>0.01</v>
      </c>
      <c r="O46" s="105">
        <f t="shared" si="33"/>
        <v>9.9999999999999863E-3</v>
      </c>
    </row>
    <row r="47" spans="1:15" ht="12.75" customHeight="1" x14ac:dyDescent="0.3">
      <c r="A47" s="428"/>
      <c r="B47" s="96" t="s">
        <v>42</v>
      </c>
      <c r="C47" s="87">
        <f>C$37*C48</f>
        <v>0</v>
      </c>
      <c r="D47" s="87">
        <f t="shared" ref="D47:N47" si="36">D$37*D48</f>
        <v>0</v>
      </c>
      <c r="E47" s="87">
        <f t="shared" si="36"/>
        <v>0</v>
      </c>
      <c r="F47" s="87">
        <f t="shared" si="36"/>
        <v>0</v>
      </c>
      <c r="G47" s="87">
        <f t="shared" si="36"/>
        <v>0</v>
      </c>
      <c r="H47" s="87">
        <f t="shared" si="36"/>
        <v>0</v>
      </c>
      <c r="I47" s="87">
        <f t="shared" si="36"/>
        <v>0</v>
      </c>
      <c r="J47" s="87">
        <f t="shared" si="36"/>
        <v>0</v>
      </c>
      <c r="K47" s="87">
        <f t="shared" si="36"/>
        <v>0</v>
      </c>
      <c r="L47" s="87">
        <f t="shared" si="36"/>
        <v>0</v>
      </c>
      <c r="M47" s="87">
        <f t="shared" si="36"/>
        <v>0</v>
      </c>
      <c r="N47" s="87">
        <f t="shared" si="36"/>
        <v>0</v>
      </c>
      <c r="O47" s="115">
        <f>SUM(C47:N47)</f>
        <v>0</v>
      </c>
    </row>
    <row r="48" spans="1:15" ht="12.75" customHeight="1" x14ac:dyDescent="0.3">
      <c r="A48" s="428"/>
      <c r="B48" s="79" t="s">
        <v>67</v>
      </c>
      <c r="C48" s="105">
        <f>C26</f>
        <v>0</v>
      </c>
      <c r="D48" s="105">
        <f t="shared" si="33"/>
        <v>0</v>
      </c>
      <c r="E48" s="105">
        <f t="shared" si="33"/>
        <v>0</v>
      </c>
      <c r="F48" s="105">
        <f t="shared" si="33"/>
        <v>0</v>
      </c>
      <c r="G48" s="105">
        <f t="shared" si="33"/>
        <v>0</v>
      </c>
      <c r="H48" s="105">
        <f t="shared" si="33"/>
        <v>0</v>
      </c>
      <c r="I48" s="105">
        <f t="shared" si="33"/>
        <v>0</v>
      </c>
      <c r="J48" s="105">
        <f t="shared" si="33"/>
        <v>0</v>
      </c>
      <c r="K48" s="105">
        <f t="shared" si="33"/>
        <v>0</v>
      </c>
      <c r="L48" s="105">
        <f t="shared" si="33"/>
        <v>0</v>
      </c>
      <c r="M48" s="105">
        <f t="shared" si="33"/>
        <v>0</v>
      </c>
      <c r="N48" s="105">
        <f t="shared" si="33"/>
        <v>0</v>
      </c>
      <c r="O48" s="105">
        <f t="shared" si="33"/>
        <v>0</v>
      </c>
    </row>
    <row r="49" spans="1:15" ht="12.75" customHeight="1" x14ac:dyDescent="0.3">
      <c r="A49" s="428"/>
      <c r="B49" s="96" t="s">
        <v>44</v>
      </c>
      <c r="C49" s="87">
        <f>C$37*C50</f>
        <v>0</v>
      </c>
      <c r="D49" s="87">
        <f t="shared" ref="D49:N49" si="37">D$37*D50</f>
        <v>0</v>
      </c>
      <c r="E49" s="87">
        <f t="shared" si="37"/>
        <v>0</v>
      </c>
      <c r="F49" s="87">
        <f t="shared" si="37"/>
        <v>0</v>
      </c>
      <c r="G49" s="87">
        <f t="shared" si="37"/>
        <v>0</v>
      </c>
      <c r="H49" s="87">
        <f t="shared" si="37"/>
        <v>0</v>
      </c>
      <c r="I49" s="87">
        <f t="shared" si="37"/>
        <v>0</v>
      </c>
      <c r="J49" s="87">
        <f t="shared" si="37"/>
        <v>0</v>
      </c>
      <c r="K49" s="87">
        <f t="shared" si="37"/>
        <v>0</v>
      </c>
      <c r="L49" s="87">
        <f t="shared" si="37"/>
        <v>0</v>
      </c>
      <c r="M49" s="87">
        <f t="shared" si="37"/>
        <v>0</v>
      </c>
      <c r="N49" s="87">
        <f t="shared" si="37"/>
        <v>0</v>
      </c>
      <c r="O49" s="115">
        <f>SUM(C49:N49)</f>
        <v>0</v>
      </c>
    </row>
    <row r="50" spans="1:15" ht="12.75" customHeight="1" x14ac:dyDescent="0.3">
      <c r="A50" s="428"/>
      <c r="B50" s="80" t="s">
        <v>68</v>
      </c>
      <c r="C50" s="105">
        <f>C28</f>
        <v>0</v>
      </c>
      <c r="D50" s="105">
        <f t="shared" si="33"/>
        <v>0</v>
      </c>
      <c r="E50" s="105">
        <f t="shared" si="33"/>
        <v>0</v>
      </c>
      <c r="F50" s="105">
        <f t="shared" si="33"/>
        <v>0</v>
      </c>
      <c r="G50" s="105">
        <f t="shared" si="33"/>
        <v>0</v>
      </c>
      <c r="H50" s="105">
        <f t="shared" si="33"/>
        <v>0</v>
      </c>
      <c r="I50" s="105">
        <f t="shared" si="33"/>
        <v>0</v>
      </c>
      <c r="J50" s="105">
        <f t="shared" si="33"/>
        <v>0</v>
      </c>
      <c r="K50" s="105">
        <f t="shared" si="33"/>
        <v>0</v>
      </c>
      <c r="L50" s="105">
        <f t="shared" si="33"/>
        <v>0</v>
      </c>
      <c r="M50" s="105">
        <f t="shared" si="33"/>
        <v>0</v>
      </c>
      <c r="N50" s="105">
        <f t="shared" si="33"/>
        <v>0</v>
      </c>
      <c r="O50" s="105">
        <f t="shared" si="33"/>
        <v>0</v>
      </c>
    </row>
    <row r="51" spans="1:15" s="100" customFormat="1" ht="12.75" customHeight="1" x14ac:dyDescent="0.3">
      <c r="A51" s="428"/>
      <c r="B51" s="121" t="s">
        <v>69</v>
      </c>
      <c r="C51" s="89">
        <f>C37-C39</f>
        <v>1.1120592788392215E-2</v>
      </c>
      <c r="D51" s="89">
        <f t="shared" ref="D51:N51" si="38">D37-D39</f>
        <v>1.3592574673684769E-2</v>
      </c>
      <c r="E51" s="89">
        <f t="shared" si="38"/>
        <v>3.1987181143679475E-2</v>
      </c>
      <c r="F51" s="89">
        <f t="shared" si="38"/>
        <v>3.2192988064253948E-2</v>
      </c>
      <c r="G51" s="89">
        <f t="shared" si="38"/>
        <v>3.783079989203901E-2</v>
      </c>
      <c r="H51" s="89">
        <f t="shared" si="38"/>
        <v>4.1460033499833397E-2</v>
      </c>
      <c r="I51" s="89">
        <f t="shared" si="38"/>
        <v>3.5189029056976441E-2</v>
      </c>
      <c r="J51" s="89">
        <f t="shared" si="38"/>
        <v>3.7144692915963763E-2</v>
      </c>
      <c r="K51" s="89">
        <f t="shared" si="38"/>
        <v>3.9048665219206961E-2</v>
      </c>
      <c r="L51" s="89">
        <f t="shared" si="38"/>
        <v>2.6775726021840543E-2</v>
      </c>
      <c r="M51" s="89">
        <f t="shared" si="38"/>
        <v>1.3607346012910316E-2</v>
      </c>
      <c r="N51" s="89">
        <f t="shared" si="38"/>
        <v>1.3821248938578655E-2</v>
      </c>
      <c r="O51" s="122">
        <f>SUM(C51:N51)</f>
        <v>0.33377087822735946</v>
      </c>
    </row>
    <row r="52" spans="1:15" ht="12.75" customHeight="1" thickBot="1" x14ac:dyDescent="0.35">
      <c r="A52" s="429"/>
      <c r="B52" s="81" t="s">
        <v>57</v>
      </c>
      <c r="C52" s="94">
        <f t="shared" ref="C52:O52" si="39">C51/C31</f>
        <v>0.63770630961684149</v>
      </c>
      <c r="D52" s="94">
        <f t="shared" si="39"/>
        <v>0.3954901670591896</v>
      </c>
      <c r="E52" s="94">
        <f t="shared" si="39"/>
        <v>0.31475145287330547</v>
      </c>
      <c r="F52" s="94">
        <f t="shared" si="39"/>
        <v>0.27347150877826698</v>
      </c>
      <c r="G52" s="94">
        <f t="shared" si="39"/>
        <v>0.22976333267763807</v>
      </c>
      <c r="H52" s="94">
        <f t="shared" si="39"/>
        <v>0.21276570863850469</v>
      </c>
      <c r="I52" s="94">
        <f t="shared" si="39"/>
        <v>0.15691637250992319</v>
      </c>
      <c r="J52" s="94">
        <f t="shared" si="39"/>
        <v>0.14689991548686235</v>
      </c>
      <c r="K52" s="94">
        <f t="shared" si="39"/>
        <v>0.13910933780225956</v>
      </c>
      <c r="L52" s="94">
        <f t="shared" si="39"/>
        <v>8.6983290748917003E-2</v>
      </c>
      <c r="M52" s="94">
        <f t="shared" si="39"/>
        <v>8.1420431972473131E-2</v>
      </c>
      <c r="N52" s="94">
        <f t="shared" si="39"/>
        <v>7.6784716325436903E-2</v>
      </c>
      <c r="O52" s="118">
        <f t="shared" si="39"/>
        <v>0.16333827521616207</v>
      </c>
    </row>
  </sheetData>
  <mergeCells count="3">
    <mergeCell ref="B1:O1"/>
    <mergeCell ref="A9:A30"/>
    <mergeCell ref="A31:A5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财务模型假设</vt:lpstr>
      <vt:lpstr>P&amp;L-毛利之上部分</vt:lpstr>
      <vt:lpstr>逾期垫付&amp;资金成本预测</vt:lpstr>
      <vt:lpstr>整体GMV假设（无关联）</vt:lpstr>
      <vt:lpstr>原版-业务假设</vt:lpstr>
      <vt:lpstr>原版-2019年新房垫佣测算--分摊至2021年垫资资金成本</vt:lpstr>
      <vt:lpstr>原版-2020-2021年垫资资金成本1</vt:lpstr>
      <vt:lpstr>新房垫佣金测算-原版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李英乔</dc:creator>
  <cp:lastModifiedBy>WIN-</cp:lastModifiedBy>
  <dcterms:created xsi:type="dcterms:W3CDTF">2019-01-08T08:16:07Z</dcterms:created>
  <dcterms:modified xsi:type="dcterms:W3CDTF">2019-01-24T11:38:51Z</dcterms:modified>
</cp:coreProperties>
</file>