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user\Desktop\EvanSkill\"/>
    </mc:Choice>
  </mc:AlternateContent>
  <xr:revisionPtr revIDLastSave="0" documentId="13_ncr:1_{34A9A73E-94BB-4A2D-97A1-F86EEC35CC68}" xr6:coauthVersionLast="47" xr6:coauthVersionMax="47" xr10:uidLastSave="{00000000-0000-0000-0000-000000000000}"/>
  <bookViews>
    <workbookView xWindow="-120" yWindow="-120" windowWidth="29040" windowHeight="15720" tabRatio="732" activeTab="1" xr2:uid="{00000000-000D-0000-FFFF-FFFF00000000}"/>
  </bookViews>
  <sheets>
    <sheet name="基礎" sheetId="1" r:id="rId1"/>
    <sheet name="技能% &amp; ONHIT間隔" sheetId="2" r:id="rId2"/>
    <sheet name="CD 與傷害軸計算" sheetId="4" r:id="rId3"/>
    <sheet name="EB FD" sheetId="7" r:id="rId4"/>
    <sheet name="One EB cycle compare" sheetId="10" r:id="rId5"/>
    <sheet name="120 Compare" sheetId="6" r:id="rId6"/>
    <sheet name="180 compare" sheetId="12" r:id="rId7"/>
    <sheet name="one ER compare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4OuWmCqlHk+prP/BBw+V8vNSvAYeGtUWpl2XgLLGQCk="/>
    </ext>
  </extLst>
</workbook>
</file>

<file path=xl/calcChain.xml><?xml version="1.0" encoding="utf-8"?>
<calcChain xmlns="http://schemas.openxmlformats.org/spreadsheetml/2006/main">
  <c r="C10" i="13" l="1"/>
  <c r="N30" i="13"/>
  <c r="N29" i="13"/>
  <c r="N28" i="13"/>
  <c r="N27" i="13"/>
  <c r="N26" i="13"/>
  <c r="N25" i="13"/>
  <c r="P19" i="13"/>
  <c r="O19" i="13"/>
  <c r="N19" i="13"/>
  <c r="M20" i="13" s="1"/>
  <c r="M21" i="13" s="1"/>
  <c r="M19" i="13"/>
  <c r="P17" i="13"/>
  <c r="O17" i="13"/>
  <c r="N17" i="13"/>
  <c r="M17" i="13"/>
  <c r="M14" i="13"/>
  <c r="J13" i="13"/>
  <c r="I13" i="13"/>
  <c r="H13" i="13"/>
  <c r="C13" i="13"/>
  <c r="J12" i="13"/>
  <c r="I12" i="13"/>
  <c r="H12" i="13"/>
  <c r="C12" i="13"/>
  <c r="J11" i="13"/>
  <c r="I11" i="13"/>
  <c r="H11" i="13"/>
  <c r="C11" i="13"/>
  <c r="J10" i="13"/>
  <c r="I10" i="13"/>
  <c r="H10" i="13"/>
  <c r="J9" i="13"/>
  <c r="I9" i="13"/>
  <c r="H9" i="13"/>
  <c r="C9" i="13"/>
  <c r="M8" i="13"/>
  <c r="M9" i="13" s="1"/>
  <c r="B13" i="13" s="1"/>
  <c r="J8" i="13"/>
  <c r="I8" i="13"/>
  <c r="H8" i="13"/>
  <c r="C8" i="13"/>
  <c r="R6" i="13"/>
  <c r="R8" i="13" s="1"/>
  <c r="N6" i="13"/>
  <c r="N8" i="13" s="1"/>
  <c r="N9" i="13" s="1"/>
  <c r="B12" i="13" s="1"/>
  <c r="M6" i="13"/>
  <c r="R5" i="13"/>
  <c r="Q5" i="13"/>
  <c r="Q6" i="13" s="1"/>
  <c r="Q8" i="13" s="1"/>
  <c r="Q9" i="13" s="1"/>
  <c r="B9" i="13" s="1"/>
  <c r="N5" i="13"/>
  <c r="P5" i="13" s="1"/>
  <c r="P6" i="13" s="1"/>
  <c r="P8" i="13" s="1"/>
  <c r="P9" i="13" s="1"/>
  <c r="B10" i="13" s="1"/>
  <c r="M5" i="13"/>
  <c r="N4" i="13"/>
  <c r="B4" i="13"/>
  <c r="N3" i="13"/>
  <c r="D5" i="4"/>
  <c r="D6" i="4"/>
  <c r="D7" i="4"/>
  <c r="D8" i="4"/>
  <c r="D9" i="4"/>
  <c r="D10" i="4"/>
  <c r="D11" i="4"/>
  <c r="E11" i="4" s="1"/>
  <c r="P11" i="4" s="1"/>
  <c r="D12" i="4"/>
  <c r="E12" i="4" s="1"/>
  <c r="F12" i="4" s="1"/>
  <c r="D13" i="4"/>
  <c r="E13" i="4" s="1"/>
  <c r="P13" i="4" s="1"/>
  <c r="D14" i="4"/>
  <c r="E14" i="4" s="1"/>
  <c r="L14" i="4" s="1"/>
  <c r="D15" i="4"/>
  <c r="E15" i="4" s="1"/>
  <c r="D4" i="4"/>
  <c r="E4" i="4" s="1"/>
  <c r="F4" i="4" s="1"/>
  <c r="E5" i="4"/>
  <c r="J5" i="4" s="1"/>
  <c r="J44" i="2"/>
  <c r="V21" i="2"/>
  <c r="U21" i="2"/>
  <c r="W15" i="2"/>
  <c r="V15" i="2"/>
  <c r="U15" i="2"/>
  <c r="D14" i="7"/>
  <c r="C8" i="12"/>
  <c r="N30" i="12"/>
  <c r="N29" i="12"/>
  <c r="N28" i="12"/>
  <c r="N27" i="12"/>
  <c r="N26" i="12"/>
  <c r="N25" i="12"/>
  <c r="P19" i="12"/>
  <c r="O19" i="12"/>
  <c r="N19" i="12"/>
  <c r="M20" i="12" s="1"/>
  <c r="M21" i="12" s="1"/>
  <c r="M19" i="12"/>
  <c r="P17" i="12"/>
  <c r="O17" i="12"/>
  <c r="N17" i="12"/>
  <c r="M17" i="12"/>
  <c r="M14" i="12"/>
  <c r="J13" i="12"/>
  <c r="I13" i="12"/>
  <c r="H13" i="12"/>
  <c r="C13" i="12"/>
  <c r="J12" i="12"/>
  <c r="I12" i="12"/>
  <c r="H12" i="12"/>
  <c r="C12" i="12"/>
  <c r="J11" i="12"/>
  <c r="I11" i="12"/>
  <c r="H11" i="12"/>
  <c r="C11" i="12"/>
  <c r="J10" i="12"/>
  <c r="I10" i="12"/>
  <c r="H10" i="12"/>
  <c r="C10" i="12"/>
  <c r="J9" i="12"/>
  <c r="I9" i="12"/>
  <c r="H9" i="12"/>
  <c r="C9" i="12"/>
  <c r="J8" i="12"/>
  <c r="I8" i="12"/>
  <c r="H8" i="12"/>
  <c r="N6" i="12"/>
  <c r="N8" i="12" s="1"/>
  <c r="N9" i="12" s="1"/>
  <c r="B12" i="12" s="1"/>
  <c r="M6" i="12"/>
  <c r="M8" i="12" s="1"/>
  <c r="M9" i="12" s="1"/>
  <c r="B13" i="12" s="1"/>
  <c r="R5" i="12"/>
  <c r="R6" i="12" s="1"/>
  <c r="R8" i="12" s="1"/>
  <c r="R9" i="12" s="1"/>
  <c r="B8" i="12" s="1"/>
  <c r="P5" i="12"/>
  <c r="P6" i="12" s="1"/>
  <c r="P8" i="12" s="1"/>
  <c r="P9" i="12" s="1"/>
  <c r="B10" i="12" s="1"/>
  <c r="N5" i="12"/>
  <c r="Q5" i="12" s="1"/>
  <c r="Q6" i="12" s="1"/>
  <c r="Q8" i="12" s="1"/>
  <c r="Q9" i="12" s="1"/>
  <c r="B9" i="12" s="1"/>
  <c r="M5" i="12"/>
  <c r="N4" i="12"/>
  <c r="B4" i="12"/>
  <c r="N3" i="12"/>
  <c r="N30" i="10"/>
  <c r="N29" i="10"/>
  <c r="N28" i="10"/>
  <c r="N27" i="10"/>
  <c r="N26" i="10"/>
  <c r="N25" i="10"/>
  <c r="P19" i="10"/>
  <c r="O19" i="10"/>
  <c r="N19" i="10"/>
  <c r="M20" i="10" s="1"/>
  <c r="M21" i="10" s="1"/>
  <c r="M19" i="10"/>
  <c r="P17" i="10"/>
  <c r="O17" i="10"/>
  <c r="N17" i="10"/>
  <c r="M17" i="10"/>
  <c r="M14" i="10"/>
  <c r="J13" i="10"/>
  <c r="I13" i="10"/>
  <c r="H13" i="10"/>
  <c r="C13" i="10"/>
  <c r="J12" i="10"/>
  <c r="I12" i="10"/>
  <c r="H12" i="10"/>
  <c r="C12" i="10"/>
  <c r="J11" i="10"/>
  <c r="I11" i="10"/>
  <c r="H11" i="10"/>
  <c r="C11" i="10"/>
  <c r="J10" i="10"/>
  <c r="I10" i="10"/>
  <c r="H10" i="10"/>
  <c r="C10" i="10"/>
  <c r="J9" i="10"/>
  <c r="I9" i="10"/>
  <c r="H9" i="10"/>
  <c r="C9" i="10"/>
  <c r="J8" i="10"/>
  <c r="I8" i="10"/>
  <c r="H8" i="10"/>
  <c r="C8" i="10"/>
  <c r="N6" i="10"/>
  <c r="N8" i="10" s="1"/>
  <c r="N9" i="10" s="1"/>
  <c r="B12" i="10" s="1"/>
  <c r="D12" i="10" s="1"/>
  <c r="M6" i="10"/>
  <c r="M8" i="10" s="1"/>
  <c r="M9" i="10" s="1"/>
  <c r="B13" i="10" s="1"/>
  <c r="D13" i="10" s="1"/>
  <c r="O5" i="10"/>
  <c r="O6" i="10" s="1"/>
  <c r="O8" i="10" s="1"/>
  <c r="O9" i="10" s="1"/>
  <c r="B11" i="10" s="1"/>
  <c r="D11" i="10" s="1"/>
  <c r="N5" i="10"/>
  <c r="Q5" i="10" s="1"/>
  <c r="Q6" i="10" s="1"/>
  <c r="Q8" i="10" s="1"/>
  <c r="Q9" i="10" s="1"/>
  <c r="B9" i="10" s="1"/>
  <c r="D9" i="10" s="1"/>
  <c r="M5" i="10"/>
  <c r="N4" i="10"/>
  <c r="B4" i="10"/>
  <c r="N3" i="10"/>
  <c r="C9" i="6"/>
  <c r="C10" i="6"/>
  <c r="C11" i="6"/>
  <c r="C12" i="6"/>
  <c r="C13" i="6"/>
  <c r="C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I8" i="6"/>
  <c r="J8" i="6"/>
  <c r="H8" i="6"/>
  <c r="G10" i="7"/>
  <c r="D12" i="7"/>
  <c r="N29" i="6"/>
  <c r="N28" i="6"/>
  <c r="N27" i="6"/>
  <c r="N26" i="6"/>
  <c r="N25" i="6"/>
  <c r="N30" i="6"/>
  <c r="G16" i="2"/>
  <c r="P17" i="6"/>
  <c r="P19" i="6" s="1"/>
  <c r="O17" i="6"/>
  <c r="O19" i="6" s="1"/>
  <c r="N17" i="6"/>
  <c r="N19" i="6" s="1"/>
  <c r="M17" i="6"/>
  <c r="M19" i="6" s="1"/>
  <c r="M14" i="6"/>
  <c r="N3" i="6"/>
  <c r="G12" i="7"/>
  <c r="M47" i="7"/>
  <c r="M48" i="7"/>
  <c r="M45" i="7"/>
  <c r="M44" i="7"/>
  <c r="M43" i="7"/>
  <c r="M42" i="7"/>
  <c r="M41" i="7"/>
  <c r="K42" i="7"/>
  <c r="K43" i="7"/>
  <c r="K44" i="7"/>
  <c r="K45" i="7"/>
  <c r="K46" i="7"/>
  <c r="K47" i="7"/>
  <c r="K41" i="7"/>
  <c r="K34" i="7"/>
  <c r="M34" i="7"/>
  <c r="O34" i="7"/>
  <c r="K35" i="7"/>
  <c r="M35" i="7"/>
  <c r="O35" i="7"/>
  <c r="K36" i="7"/>
  <c r="M36" i="7"/>
  <c r="O36" i="7"/>
  <c r="K37" i="7"/>
  <c r="M37" i="7"/>
  <c r="O37" i="7"/>
  <c r="K38" i="7"/>
  <c r="M38" i="7"/>
  <c r="O38" i="7"/>
  <c r="K39" i="7"/>
  <c r="M39" i="7"/>
  <c r="O39" i="7"/>
  <c r="K40" i="7"/>
  <c r="M40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K28" i="7"/>
  <c r="K29" i="7"/>
  <c r="K30" i="7"/>
  <c r="K31" i="7"/>
  <c r="K32" i="7"/>
  <c r="K33" i="7"/>
  <c r="K27" i="7"/>
  <c r="K21" i="7"/>
  <c r="K22" i="7"/>
  <c r="K23" i="7"/>
  <c r="K24" i="7"/>
  <c r="K25" i="7"/>
  <c r="K26" i="7"/>
  <c r="K20" i="7"/>
  <c r="K14" i="7"/>
  <c r="K15" i="7"/>
  <c r="K16" i="7"/>
  <c r="K17" i="7"/>
  <c r="K18" i="7"/>
  <c r="K19" i="7"/>
  <c r="K13" i="7"/>
  <c r="E10" i="7"/>
  <c r="E12" i="7" s="1"/>
  <c r="F10" i="7"/>
  <c r="F12" i="7" s="1"/>
  <c r="D10" i="7"/>
  <c r="B4" i="6"/>
  <c r="N4" i="6"/>
  <c r="F2" i="4"/>
  <c r="F25" i="1"/>
  <c r="M28" i="1"/>
  <c r="C35" i="2"/>
  <c r="C30" i="1"/>
  <c r="G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C26" i="1"/>
  <c r="G26" i="1" s="1"/>
  <c r="M26" i="1" s="1"/>
  <c r="G31" i="1"/>
  <c r="M31" i="1" s="1"/>
  <c r="N31" i="1" s="1"/>
  <c r="O31" i="1" s="1"/>
  <c r="P31" i="1" s="1"/>
  <c r="Q31" i="1" s="1"/>
  <c r="R31" i="1" s="1"/>
  <c r="S31" i="1" s="1"/>
  <c r="T31" i="1" s="1"/>
  <c r="U31" i="1" s="1"/>
  <c r="H31" i="1"/>
  <c r="E18" i="2"/>
  <c r="F18" i="2"/>
  <c r="G18" i="2"/>
  <c r="H18" i="2"/>
  <c r="C18" i="2"/>
  <c r="D18" i="2"/>
  <c r="G29" i="1"/>
  <c r="M29" i="1" s="1"/>
  <c r="H29" i="1"/>
  <c r="H28" i="1"/>
  <c r="G28" i="1"/>
  <c r="C12" i="1"/>
  <c r="E6" i="4"/>
  <c r="P6" i="4" s="1"/>
  <c r="E7" i="4"/>
  <c r="P7" i="4" s="1"/>
  <c r="E8" i="4"/>
  <c r="L8" i="4" s="1"/>
  <c r="E9" i="4"/>
  <c r="P9" i="4" s="1"/>
  <c r="P21" i="4" s="1"/>
  <c r="E10" i="4"/>
  <c r="J10" i="4" s="1"/>
  <c r="I17" i="2"/>
  <c r="H17" i="2"/>
  <c r="G17" i="2"/>
  <c r="F17" i="2"/>
  <c r="E17" i="2"/>
  <c r="D17" i="2"/>
  <c r="J16" i="2"/>
  <c r="I16" i="2"/>
  <c r="H16" i="2"/>
  <c r="F16" i="2"/>
  <c r="E16" i="2"/>
  <c r="D16" i="2"/>
  <c r="F15" i="2"/>
  <c r="E15" i="2"/>
  <c r="D15" i="2"/>
  <c r="H14" i="2"/>
  <c r="G14" i="2"/>
  <c r="F14" i="2"/>
  <c r="E14" i="2"/>
  <c r="D14" i="2"/>
  <c r="G13" i="2"/>
  <c r="F13" i="2"/>
  <c r="E13" i="2"/>
  <c r="D13" i="2"/>
  <c r="J12" i="2"/>
  <c r="I12" i="2"/>
  <c r="H12" i="2"/>
  <c r="G12" i="2"/>
  <c r="F12" i="2"/>
  <c r="E12" i="2"/>
  <c r="D12" i="2"/>
  <c r="H27" i="1"/>
  <c r="G27" i="1"/>
  <c r="M27" i="1" s="1"/>
  <c r="C25" i="1"/>
  <c r="G25" i="1" s="1"/>
  <c r="E24" i="1"/>
  <c r="C24" i="1"/>
  <c r="I23" i="1"/>
  <c r="E23" i="1"/>
  <c r="H23" i="1" s="1"/>
  <c r="I22" i="1"/>
  <c r="E22" i="1"/>
  <c r="H22" i="1" s="1"/>
  <c r="I21" i="1"/>
  <c r="E21" i="1"/>
  <c r="H21" i="1" s="1"/>
  <c r="D13" i="13" l="1"/>
  <c r="D10" i="13"/>
  <c r="D12" i="13"/>
  <c r="D9" i="13"/>
  <c r="R9" i="13"/>
  <c r="B8" i="13" s="1"/>
  <c r="D8" i="13" s="1"/>
  <c r="O5" i="13"/>
  <c r="O6" i="13" s="1"/>
  <c r="O8" i="13" s="1"/>
  <c r="O9" i="13" s="1"/>
  <c r="B11" i="13" s="1"/>
  <c r="D11" i="13" s="1"/>
  <c r="P25" i="4"/>
  <c r="F13" i="4"/>
  <c r="I13" i="4"/>
  <c r="K13" i="4"/>
  <c r="J13" i="4"/>
  <c r="L13" i="4"/>
  <c r="M13" i="4"/>
  <c r="H13" i="4"/>
  <c r="N13" i="4"/>
  <c r="G13" i="4"/>
  <c r="O13" i="4"/>
  <c r="P15" i="4"/>
  <c r="G15" i="4"/>
  <c r="H15" i="4"/>
  <c r="I15" i="4"/>
  <c r="J15" i="4"/>
  <c r="F15" i="4"/>
  <c r="K15" i="4"/>
  <c r="L15" i="4"/>
  <c r="M15" i="4"/>
  <c r="N15" i="4"/>
  <c r="O15" i="4"/>
  <c r="W21" i="2"/>
  <c r="D9" i="12"/>
  <c r="D10" i="12"/>
  <c r="D8" i="12"/>
  <c r="D13" i="12"/>
  <c r="D12" i="12"/>
  <c r="O5" i="12"/>
  <c r="O6" i="12" s="1"/>
  <c r="O8" i="12" s="1"/>
  <c r="O9" i="12" s="1"/>
  <c r="B11" i="12" s="1"/>
  <c r="D11" i="12" s="1"/>
  <c r="R5" i="10"/>
  <c r="R6" i="10" s="1"/>
  <c r="R8" i="10" s="1"/>
  <c r="R9" i="10" s="1"/>
  <c r="B8" i="10" s="1"/>
  <c r="D8" i="10" s="1"/>
  <c r="P5" i="10"/>
  <c r="P6" i="10" s="1"/>
  <c r="P8" i="10" s="1"/>
  <c r="P9" i="10" s="1"/>
  <c r="B10" i="10" s="1"/>
  <c r="D10" i="10" s="1"/>
  <c r="M20" i="6"/>
  <c r="M21" i="6" s="1"/>
  <c r="F14" i="4"/>
  <c r="D13" i="7"/>
  <c r="F24" i="4"/>
  <c r="F11" i="4"/>
  <c r="F10" i="4"/>
  <c r="F9" i="4"/>
  <c r="F8" i="4"/>
  <c r="F19" i="4" s="1"/>
  <c r="F7" i="4"/>
  <c r="F6" i="4"/>
  <c r="F5" i="4"/>
  <c r="C47" i="2"/>
  <c r="C36" i="2"/>
  <c r="G23" i="1"/>
  <c r="M23" i="1" s="1"/>
  <c r="C30" i="2" s="1"/>
  <c r="H25" i="1"/>
  <c r="H30" i="1"/>
  <c r="N28" i="1"/>
  <c r="D35" i="2" s="1"/>
  <c r="D47" i="2" s="1"/>
  <c r="H26" i="1"/>
  <c r="G22" i="1"/>
  <c r="M22" i="1" s="1"/>
  <c r="N22" i="1" s="1"/>
  <c r="H24" i="1"/>
  <c r="H7" i="4"/>
  <c r="G7" i="4"/>
  <c r="P4" i="4"/>
  <c r="J4" i="4"/>
  <c r="L7" i="4"/>
  <c r="M8" i="4"/>
  <c r="N8" i="4"/>
  <c r="J9" i="4"/>
  <c r="J21" i="4" s="1"/>
  <c r="K10" i="4"/>
  <c r="K22" i="4" s="1"/>
  <c r="L10" i="4"/>
  <c r="L22" i="4" s="1"/>
  <c r="K5" i="4"/>
  <c r="P10" i="4"/>
  <c r="P22" i="4" s="1"/>
  <c r="L5" i="4"/>
  <c r="M14" i="4"/>
  <c r="P5" i="4"/>
  <c r="N14" i="4"/>
  <c r="G12" i="4"/>
  <c r="P12" i="4"/>
  <c r="P24" i="4" s="1"/>
  <c r="L12" i="4"/>
  <c r="L19" i="4" s="1"/>
  <c r="O12" i="4"/>
  <c r="O24" i="4" s="1"/>
  <c r="N12" i="4"/>
  <c r="M12" i="4"/>
  <c r="K12" i="4"/>
  <c r="H12" i="4"/>
  <c r="J12" i="4"/>
  <c r="J24" i="4" s="1"/>
  <c r="I12" i="4"/>
  <c r="I24" i="4" s="1"/>
  <c r="P23" i="4"/>
  <c r="J22" i="4"/>
  <c r="G4" i="4"/>
  <c r="M5" i="4"/>
  <c r="I7" i="4"/>
  <c r="O8" i="4"/>
  <c r="G9" i="4"/>
  <c r="M10" i="4"/>
  <c r="M22" i="4" s="1"/>
  <c r="O14" i="4"/>
  <c r="H4" i="4"/>
  <c r="N5" i="4"/>
  <c r="J7" i="4"/>
  <c r="P8" i="4"/>
  <c r="P16" i="4" s="1"/>
  <c r="H9" i="4"/>
  <c r="H21" i="4" s="1"/>
  <c r="N10" i="4"/>
  <c r="N22" i="4" s="1"/>
  <c r="P14" i="4"/>
  <c r="I4" i="4"/>
  <c r="O5" i="4"/>
  <c r="K7" i="4"/>
  <c r="I9" i="4"/>
  <c r="I21" i="4" s="1"/>
  <c r="O10" i="4"/>
  <c r="K4" i="4"/>
  <c r="G6" i="4"/>
  <c r="M7" i="4"/>
  <c r="K9" i="4"/>
  <c r="G11" i="4"/>
  <c r="L4" i="4"/>
  <c r="H6" i="4"/>
  <c r="N7" i="4"/>
  <c r="L9" i="4"/>
  <c r="H11" i="4"/>
  <c r="H23" i="4" s="1"/>
  <c r="M4" i="4"/>
  <c r="I6" i="4"/>
  <c r="O7" i="4"/>
  <c r="M9" i="4"/>
  <c r="M21" i="4" s="1"/>
  <c r="I11" i="4"/>
  <c r="I23" i="4" s="1"/>
  <c r="N4" i="4"/>
  <c r="J6" i="4"/>
  <c r="N9" i="4"/>
  <c r="N21" i="4" s="1"/>
  <c r="J11" i="4"/>
  <c r="J23" i="4" s="1"/>
  <c r="O4" i="4"/>
  <c r="K6" i="4"/>
  <c r="G8" i="4"/>
  <c r="O9" i="4"/>
  <c r="O21" i="4" s="1"/>
  <c r="K11" i="4"/>
  <c r="K23" i="4" s="1"/>
  <c r="G14" i="4"/>
  <c r="L6" i="4"/>
  <c r="H8" i="4"/>
  <c r="L11" i="4"/>
  <c r="L23" i="4" s="1"/>
  <c r="H14" i="4"/>
  <c r="G5" i="4"/>
  <c r="M6" i="4"/>
  <c r="I8" i="4"/>
  <c r="G10" i="4"/>
  <c r="M11" i="4"/>
  <c r="I14" i="4"/>
  <c r="H5" i="4"/>
  <c r="N6" i="4"/>
  <c r="J8" i="4"/>
  <c r="H10" i="4"/>
  <c r="H22" i="4" s="1"/>
  <c r="N11" i="4"/>
  <c r="N23" i="4" s="1"/>
  <c r="J14" i="4"/>
  <c r="I5" i="4"/>
  <c r="O6" i="4"/>
  <c r="K8" i="4"/>
  <c r="I10" i="4"/>
  <c r="O11" i="4"/>
  <c r="O23" i="4" s="1"/>
  <c r="K14" i="4"/>
  <c r="B27" i="1"/>
  <c r="B31" i="1" s="1"/>
  <c r="N27" i="1"/>
  <c r="D34" i="2" s="1"/>
  <c r="C34" i="2"/>
  <c r="C33" i="2"/>
  <c r="N26" i="1"/>
  <c r="G21" i="1"/>
  <c r="M21" i="1" s="1"/>
  <c r="G24" i="1"/>
  <c r="M24" i="1" s="1"/>
  <c r="G25" i="4" l="1"/>
  <c r="G20" i="4"/>
  <c r="H25" i="4"/>
  <c r="H20" i="4"/>
  <c r="M20" i="4"/>
  <c r="M25" i="4"/>
  <c r="L20" i="4"/>
  <c r="L25" i="4"/>
  <c r="J20" i="4"/>
  <c r="J25" i="4"/>
  <c r="K20" i="4"/>
  <c r="K25" i="4"/>
  <c r="I20" i="4"/>
  <c r="I25" i="4"/>
  <c r="N20" i="4"/>
  <c r="N25" i="4"/>
  <c r="F25" i="4"/>
  <c r="F20" i="4"/>
  <c r="P20" i="4"/>
  <c r="O20" i="4"/>
  <c r="O25" i="4"/>
  <c r="F21" i="4"/>
  <c r="F16" i="4"/>
  <c r="F23" i="4"/>
  <c r="F18" i="4"/>
  <c r="F22" i="4"/>
  <c r="F17" i="4"/>
  <c r="C48" i="2"/>
  <c r="N29" i="1"/>
  <c r="M25" i="1"/>
  <c r="C32" i="2" s="1"/>
  <c r="C44" i="2" s="1"/>
  <c r="N23" i="1"/>
  <c r="D30" i="2" s="1"/>
  <c r="C29" i="2"/>
  <c r="C41" i="2" s="1"/>
  <c r="O28" i="1"/>
  <c r="B25" i="1"/>
  <c r="B30" i="1" s="1"/>
  <c r="B26" i="1"/>
  <c r="C45" i="2"/>
  <c r="C46" i="2"/>
  <c r="C42" i="2"/>
  <c r="O17" i="4"/>
  <c r="J19" i="4"/>
  <c r="P17" i="4"/>
  <c r="K19" i="4"/>
  <c r="H17" i="4"/>
  <c r="N18" i="4"/>
  <c r="L18" i="4"/>
  <c r="I19" i="4"/>
  <c r="G21" i="4"/>
  <c r="K17" i="4"/>
  <c r="O22" i="4"/>
  <c r="N16" i="4"/>
  <c r="G16" i="4"/>
  <c r="B29" i="1"/>
  <c r="B28" i="1"/>
  <c r="M17" i="4"/>
  <c r="P18" i="4"/>
  <c r="L17" i="4"/>
  <c r="O19" i="4"/>
  <c r="L24" i="4"/>
  <c r="G23" i="4"/>
  <c r="G18" i="4"/>
  <c r="M18" i="4"/>
  <c r="M23" i="4"/>
  <c r="I17" i="4"/>
  <c r="I22" i="4"/>
  <c r="M24" i="4"/>
  <c r="M19" i="4"/>
  <c r="N17" i="4"/>
  <c r="I16" i="4"/>
  <c r="N19" i="4"/>
  <c r="N24" i="4"/>
  <c r="J17" i="4"/>
  <c r="G17" i="4"/>
  <c r="G22" i="4"/>
  <c r="K21" i="4"/>
  <c r="K16" i="4"/>
  <c r="K18" i="4"/>
  <c r="J16" i="4"/>
  <c r="L21" i="4"/>
  <c r="L16" i="4"/>
  <c r="O16" i="4"/>
  <c r="J18" i="4"/>
  <c r="O18" i="4"/>
  <c r="P19" i="4"/>
  <c r="H19" i="4"/>
  <c r="H24" i="4"/>
  <c r="K24" i="4"/>
  <c r="G19" i="4"/>
  <c r="G24" i="4"/>
  <c r="I18" i="4"/>
  <c r="H16" i="4"/>
  <c r="M16" i="4"/>
  <c r="H18" i="4"/>
  <c r="B24" i="1"/>
  <c r="B23" i="1"/>
  <c r="B22" i="1"/>
  <c r="B21" i="1"/>
  <c r="N24" i="1"/>
  <c r="C31" i="2"/>
  <c r="D29" i="2"/>
  <c r="O22" i="1"/>
  <c r="N21" i="1"/>
  <c r="C28" i="2"/>
  <c r="O26" i="1"/>
  <c r="D33" i="2"/>
  <c r="O27" i="1"/>
  <c r="E34" i="2" s="1"/>
  <c r="O23" i="1" l="1"/>
  <c r="P28" i="1"/>
  <c r="E35" i="2"/>
  <c r="D36" i="2"/>
  <c r="O29" i="1"/>
  <c r="N25" i="1"/>
  <c r="D32" i="2" s="1"/>
  <c r="D44" i="2" s="1"/>
  <c r="D41" i="2"/>
  <c r="C43" i="2"/>
  <c r="D46" i="2"/>
  <c r="D45" i="2"/>
  <c r="C40" i="2"/>
  <c r="D42" i="2"/>
  <c r="P26" i="1"/>
  <c r="E33" i="2"/>
  <c r="E45" i="2" s="1"/>
  <c r="P27" i="1"/>
  <c r="F34" i="2" s="1"/>
  <c r="E46" i="2"/>
  <c r="E29" i="2"/>
  <c r="E41" i="2" s="1"/>
  <c r="P22" i="1"/>
  <c r="P23" i="1"/>
  <c r="E30" i="2"/>
  <c r="E42" i="2" s="1"/>
  <c r="O21" i="1"/>
  <c r="D28" i="2"/>
  <c r="O24" i="1"/>
  <c r="D31" i="2"/>
  <c r="D43" i="2" s="1"/>
  <c r="O25" i="1" l="1"/>
  <c r="P29" i="1"/>
  <c r="E36" i="2"/>
  <c r="D48" i="2"/>
  <c r="E48" i="2"/>
  <c r="E47" i="2"/>
  <c r="F35" i="2"/>
  <c r="F47" i="2" s="1"/>
  <c r="D40" i="2"/>
  <c r="P21" i="1"/>
  <c r="E28" i="2"/>
  <c r="P24" i="1"/>
  <c r="F31" i="2" s="1"/>
  <c r="E31" i="2"/>
  <c r="F30" i="2"/>
  <c r="F42" i="2" s="1"/>
  <c r="Q23" i="1"/>
  <c r="G30" i="2" s="1"/>
  <c r="F29" i="2"/>
  <c r="Q22" i="1"/>
  <c r="Q27" i="1"/>
  <c r="G34" i="2" s="1"/>
  <c r="F46" i="2"/>
  <c r="Q26" i="1"/>
  <c r="F33" i="2"/>
  <c r="F45" i="2" s="1"/>
  <c r="Q29" i="1" l="1"/>
  <c r="F36" i="2"/>
  <c r="E32" i="2"/>
  <c r="E44" i="2" s="1"/>
  <c r="P25" i="1"/>
  <c r="F43" i="2"/>
  <c r="E40" i="2"/>
  <c r="G42" i="2"/>
  <c r="E43" i="2"/>
  <c r="F41" i="2"/>
  <c r="G33" i="2"/>
  <c r="G45" i="2" s="1"/>
  <c r="R26" i="1"/>
  <c r="R27" i="1"/>
  <c r="H34" i="2" s="1"/>
  <c r="G46" i="2"/>
  <c r="G29" i="2"/>
  <c r="G41" i="2" s="1"/>
  <c r="Q21" i="1"/>
  <c r="F28" i="2"/>
  <c r="F40" i="2" s="1"/>
  <c r="F48" i="2" l="1"/>
  <c r="R29" i="1"/>
  <c r="G36" i="2"/>
  <c r="G48" i="2" s="1"/>
  <c r="F32" i="2"/>
  <c r="F44" i="2" s="1"/>
  <c r="Q25" i="1"/>
  <c r="H46" i="2"/>
  <c r="R21" i="1"/>
  <c r="G28" i="2"/>
  <c r="H33" i="2"/>
  <c r="H45" i="2" s="1"/>
  <c r="S26" i="1"/>
  <c r="G32" i="2" l="1"/>
  <c r="G44" i="2" s="1"/>
  <c r="R25" i="1"/>
  <c r="S29" i="1"/>
  <c r="H36" i="2"/>
  <c r="H48" i="2" s="1"/>
  <c r="G40" i="2"/>
  <c r="I33" i="2"/>
  <c r="I45" i="2" s="1"/>
  <c r="T26" i="1"/>
  <c r="S21" i="1"/>
  <c r="H28" i="2"/>
  <c r="H40" i="2" s="1"/>
  <c r="T29" i="1" l="1"/>
  <c r="I36" i="2"/>
  <c r="I48" i="2" s="1"/>
  <c r="H32" i="2"/>
  <c r="H44" i="2" s="1"/>
  <c r="S25" i="1"/>
  <c r="I28" i="2"/>
  <c r="I40" i="2" s="1"/>
  <c r="T21" i="1"/>
  <c r="I32" i="2" l="1"/>
  <c r="I44" i="2" s="1"/>
  <c r="T25" i="1"/>
  <c r="J32" i="2" s="1"/>
  <c r="U29" i="1"/>
  <c r="J36" i="2"/>
  <c r="J48" i="2" s="1"/>
  <c r="J28" i="2"/>
  <c r="J40" i="2" s="1"/>
  <c r="V29" i="1" l="1"/>
  <c r="K36" i="2"/>
  <c r="K48" i="2" s="1"/>
  <c r="W29" i="1" l="1"/>
  <c r="L36" i="2"/>
  <c r="L48" i="2" s="1"/>
  <c r="X29" i="1" l="1"/>
  <c r="M36" i="2"/>
  <c r="M48" i="2" s="1"/>
  <c r="Y29" i="1" l="1"/>
  <c r="N36" i="2"/>
  <c r="N48" i="2" s="1"/>
  <c r="Z29" i="1" l="1"/>
  <c r="O36" i="2"/>
  <c r="O48" i="2" s="1"/>
  <c r="AA29" i="1" l="1"/>
  <c r="P36" i="2"/>
  <c r="P48" i="2" s="1"/>
  <c r="AB29" i="1" l="1"/>
  <c r="R36" i="2" s="1"/>
  <c r="Q36" i="2"/>
  <c r="Q48" i="2" s="1"/>
  <c r="R48" i="2" l="1"/>
  <c r="N5" i="6"/>
  <c r="O5" i="6" l="1"/>
  <c r="O6" i="6" s="1"/>
  <c r="O8" i="6" s="1"/>
  <c r="M5" i="6"/>
  <c r="M6" i="6" s="1"/>
  <c r="M8" i="6" s="1"/>
  <c r="P5" i="6"/>
  <c r="P6" i="6" s="1"/>
  <c r="P8" i="6" s="1"/>
  <c r="N6" i="6"/>
  <c r="N8" i="6" s="1"/>
  <c r="N9" i="6" s="1"/>
  <c r="B12" i="6" s="1"/>
  <c r="D12" i="6" s="1"/>
  <c r="R5" i="6"/>
  <c r="R6" i="6" s="1"/>
  <c r="R8" i="6" s="1"/>
  <c r="Q5" i="6"/>
  <c r="Q6" i="6" s="1"/>
  <c r="Q8" i="6" s="1"/>
  <c r="M9" i="6" l="1"/>
  <c r="B13" i="6" s="1"/>
  <c r="D13" i="6" s="1"/>
  <c r="Q9" i="6"/>
  <c r="B9" i="6" s="1"/>
  <c r="D9" i="6" s="1"/>
  <c r="R9" i="6"/>
  <c r="B8" i="6" s="1"/>
  <c r="D8" i="6" s="1"/>
  <c r="P9" i="6"/>
  <c r="B10" i="6" s="1"/>
  <c r="D10" i="6" s="1"/>
  <c r="O9" i="6"/>
  <c r="B11" i="6" s="1"/>
  <c r="D11" i="6" s="1"/>
</calcChain>
</file>

<file path=xl/sharedStrings.xml><?xml version="1.0" encoding="utf-8"?>
<sst xmlns="http://schemas.openxmlformats.org/spreadsheetml/2006/main" count="456" uniqueCount="155">
  <si>
    <t>龍之迅捷-風之疾</t>
  </si>
  <si>
    <t>龍之迅捷-雷霆額外攻擊</t>
  </si>
  <si>
    <t>龍之躍-冷卻減免</t>
  </si>
  <si>
    <t>龍之躍-閃雷之疾</t>
  </si>
  <si>
    <t>龍之躍-震撼大地</t>
  </si>
  <si>
    <t>龍之氣息-冷卻減免</t>
  </si>
  <si>
    <t>龍之氣息-地之疾</t>
  </si>
  <si>
    <t>龍之氣息-風之加乘</t>
  </si>
  <si>
    <t>BOSS+總傷</t>
  </si>
  <si>
    <t>CD</t>
  </si>
  <si>
    <t>基礎%</t>
  </si>
  <si>
    <t>龍之躍+%p</t>
  </si>
  <si>
    <t>龍之氣息+%p</t>
  </si>
  <si>
    <t>額外%p</t>
  </si>
  <si>
    <t>總計%</t>
  </si>
  <si>
    <t>殘血總計%</t>
  </si>
  <si>
    <t>攻擊次數</t>
  </si>
  <si>
    <t>核心倍率</t>
  </si>
  <si>
    <t>多次命中衰減</t>
  </si>
  <si>
    <t>1打</t>
  </si>
  <si>
    <t>2打</t>
  </si>
  <si>
    <t>3打</t>
  </si>
  <si>
    <t>4打</t>
  </si>
  <si>
    <t>5打</t>
  </si>
  <si>
    <t>6打</t>
  </si>
  <si>
    <t>7打</t>
  </si>
  <si>
    <t>8打</t>
  </si>
  <si>
    <t>風之捷</t>
  </si>
  <si>
    <t>閃雷之捷</t>
  </si>
  <si>
    <t>閃雷之躍</t>
  </si>
  <si>
    <t>塵土之躍</t>
  </si>
  <si>
    <t>風之氣息</t>
  </si>
  <si>
    <t>大地氣息</t>
  </si>
  <si>
    <t>聖龍突襲</t>
  </si>
  <si>
    <t>攻擊間隔</t>
  </si>
  <si>
    <t>時機(ms)</t>
  </si>
  <si>
    <t>傷害%</t>
  </si>
  <si>
    <t>屬帽</t>
    <phoneticPr fontId="4" type="noConversion"/>
  </si>
  <si>
    <t>-1CD</t>
    <phoneticPr fontId="4" type="noConversion"/>
  </si>
  <si>
    <t>-2CD</t>
    <phoneticPr fontId="4" type="noConversion"/>
  </si>
  <si>
    <t>-3CD</t>
    <phoneticPr fontId="4" type="noConversion"/>
  </si>
  <si>
    <t>-4CD</t>
    <phoneticPr fontId="4" type="noConversion"/>
  </si>
  <si>
    <t>-5CD</t>
    <phoneticPr fontId="4" type="noConversion"/>
  </si>
  <si>
    <t>-6CD</t>
    <phoneticPr fontId="4" type="noConversion"/>
  </si>
  <si>
    <t>-7CD</t>
    <phoneticPr fontId="4" type="noConversion"/>
  </si>
  <si>
    <t>-8CD</t>
    <phoneticPr fontId="4" type="noConversion"/>
  </si>
  <si>
    <t>-9CD</t>
  </si>
  <si>
    <t>CD&gt;10 秒</t>
    <phoneticPr fontId="4" type="noConversion"/>
  </si>
  <si>
    <t>CD40元素滅殺破對聖龍突襲週期比</t>
    <phoneticPr fontId="4" type="noConversion"/>
  </si>
  <si>
    <t>CD45元素滅殺破對聖龍突襲週期比</t>
    <phoneticPr fontId="4" type="noConversion"/>
  </si>
  <si>
    <t>CD50元素滅殺破對聖龍突襲週期比</t>
    <phoneticPr fontId="4" type="noConversion"/>
  </si>
  <si>
    <t>CD55元素滅殺破對聖龍突襲週期比</t>
    <phoneticPr fontId="4" type="noConversion"/>
  </si>
  <si>
    <t>CD60元素滅殺破對聖龍突襲週期比</t>
    <phoneticPr fontId="4" type="noConversion"/>
  </si>
  <si>
    <t>星宮射線 對 CD40元素滅殺破週期比</t>
    <phoneticPr fontId="4" type="noConversion"/>
  </si>
  <si>
    <t>星宮射線 對 CD45元素滅殺破週期比</t>
    <phoneticPr fontId="4" type="noConversion"/>
  </si>
  <si>
    <t>星宮射線 對 CD50元素滅殺破週期比</t>
    <phoneticPr fontId="4" type="noConversion"/>
  </si>
  <si>
    <t>星宮射線 對 CD55元素滅殺破週期比</t>
    <phoneticPr fontId="4" type="noConversion"/>
  </si>
  <si>
    <t>星宮射線 對 CD60元素滅殺破週期比</t>
    <phoneticPr fontId="4" type="noConversion"/>
  </si>
  <si>
    <t>元素滅殺破</t>
    <phoneticPr fontId="4" type="noConversion"/>
  </si>
  <si>
    <t>歐尼斯之氣息</t>
    <phoneticPr fontId="4" type="noConversion"/>
  </si>
  <si>
    <t>Total</t>
    <phoneticPr fontId="4" type="noConversion"/>
  </si>
  <si>
    <t>氣息-回來吧</t>
    <phoneticPr fontId="4" type="noConversion"/>
  </si>
  <si>
    <t>粉碎-回歸</t>
    <phoneticPr fontId="4" type="noConversion"/>
  </si>
  <si>
    <t>9打</t>
  </si>
  <si>
    <t>10打</t>
  </si>
  <si>
    <t>11打</t>
  </si>
  <si>
    <t>12打</t>
  </si>
  <si>
    <t>13打</t>
  </si>
  <si>
    <t>14打</t>
  </si>
  <si>
    <t>15打</t>
  </si>
  <si>
    <t>16打</t>
  </si>
  <si>
    <t>Hexa倍率</t>
    <phoneticPr fontId="4" type="noConversion"/>
  </si>
  <si>
    <t>TF</t>
    <phoneticPr fontId="4" type="noConversion"/>
  </si>
  <si>
    <t>ED</t>
    <phoneticPr fontId="4" type="noConversion"/>
  </si>
  <si>
    <t>WB</t>
    <phoneticPr fontId="4" type="noConversion"/>
  </si>
  <si>
    <t>DS</t>
    <phoneticPr fontId="4" type="noConversion"/>
  </si>
  <si>
    <t>CD</t>
    <phoneticPr fontId="4" type="noConversion"/>
  </si>
  <si>
    <t>↓</t>
    <phoneticPr fontId="4" type="noConversion"/>
  </si>
  <si>
    <t>…</t>
    <phoneticPr fontId="4" type="noConversion"/>
  </si>
  <si>
    <t>DPS</t>
    <phoneticPr fontId="4" type="noConversion"/>
  </si>
  <si>
    <t>主屬</t>
    <phoneticPr fontId="4" type="noConversion"/>
  </si>
  <si>
    <r>
      <rPr>
        <sz val="12"/>
        <color theme="1"/>
        <rFont val="Microsoft JhengHei"/>
        <family val="2"/>
        <charset val="136"/>
      </rPr>
      <t>不吃</t>
    </r>
    <r>
      <rPr>
        <sz val="12"/>
        <color theme="1"/>
        <rFont val="Calibri"/>
        <family val="2"/>
      </rPr>
      <t xml:space="preserve">% </t>
    </r>
    <r>
      <rPr>
        <sz val="12"/>
        <color theme="1"/>
        <rFont val="Microsoft JhengHei"/>
        <family val="2"/>
      </rPr>
      <t>主屬</t>
    </r>
    <phoneticPr fontId="4" type="noConversion"/>
  </si>
  <si>
    <r>
      <rPr>
        <sz val="12"/>
        <color theme="1"/>
        <rFont val="Microsoft JhengHei"/>
        <charset val="136"/>
      </rPr>
      <t>吃</t>
    </r>
    <r>
      <rPr>
        <sz val="12"/>
        <color theme="1"/>
        <rFont val="Calibri"/>
        <scheme val="minor"/>
      </rPr>
      <t>%主屬</t>
    </r>
    <phoneticPr fontId="4" type="noConversion"/>
  </si>
  <si>
    <r>
      <rPr>
        <sz val="12"/>
        <color theme="1"/>
        <rFont val="Microsoft JhengHei"/>
        <family val="2"/>
        <charset val="136"/>
      </rPr>
      <t>主屬</t>
    </r>
    <r>
      <rPr>
        <sz val="12"/>
        <color theme="1"/>
        <rFont val="Calibri"/>
        <family val="2"/>
      </rPr>
      <t>%</t>
    </r>
    <phoneticPr fontId="4" type="noConversion"/>
  </si>
  <si>
    <t>副屬</t>
    <phoneticPr fontId="4" type="noConversion"/>
  </si>
  <si>
    <r>
      <t>4(</t>
    </r>
    <r>
      <rPr>
        <sz val="12"/>
        <color theme="1"/>
        <rFont val="Microsoft JhengHei"/>
        <family val="2"/>
      </rPr>
      <t>主屬</t>
    </r>
    <r>
      <rPr>
        <sz val="12"/>
        <color theme="1"/>
        <rFont val="Calibri"/>
        <family val="2"/>
      </rPr>
      <t>)+1</t>
    </r>
    <r>
      <rPr>
        <sz val="12"/>
        <color theme="1"/>
        <rFont val="Microsoft JhengHei"/>
        <family val="2"/>
      </rPr>
      <t>副屬</t>
    </r>
    <phoneticPr fontId="4" type="noConversion"/>
  </si>
  <si>
    <t>-2CD+26%+9%</t>
    <phoneticPr fontId="4" type="noConversion"/>
  </si>
  <si>
    <t>-4CD+13%+9%</t>
    <phoneticPr fontId="4" type="noConversion"/>
  </si>
  <si>
    <t>-6CD+9%</t>
    <phoneticPr fontId="4" type="noConversion"/>
  </si>
  <si>
    <t>增幅</t>
    <phoneticPr fontId="4" type="noConversion"/>
  </si>
  <si>
    <t>帽子</t>
    <phoneticPr fontId="4" type="noConversion"/>
  </si>
  <si>
    <t>差異</t>
    <phoneticPr fontId="4" type="noConversion"/>
  </si>
  <si>
    <t>EB FD timing</t>
    <phoneticPr fontId="4" type="noConversion"/>
  </si>
  <si>
    <t>End</t>
    <phoneticPr fontId="4" type="noConversion"/>
  </si>
  <si>
    <t>EB CD</t>
    <phoneticPr fontId="4" type="noConversion"/>
  </si>
  <si>
    <t>FD</t>
    <phoneticPr fontId="4" type="noConversion"/>
  </si>
  <si>
    <t>FD Duration</t>
    <phoneticPr fontId="4" type="noConversion"/>
  </si>
  <si>
    <t>Avg FD</t>
    <phoneticPr fontId="4" type="noConversion"/>
  </si>
  <si>
    <t>SUM FD</t>
    <phoneticPr fontId="4" type="noConversion"/>
  </si>
  <si>
    <t>Total time</t>
    <phoneticPr fontId="4" type="noConversion"/>
  </si>
  <si>
    <t>sec</t>
    <phoneticPr fontId="4" type="noConversion"/>
  </si>
  <si>
    <t>EB used</t>
    <phoneticPr fontId="4" type="noConversion"/>
  </si>
  <si>
    <t>times</t>
    <phoneticPr fontId="4" type="noConversion"/>
  </si>
  <si>
    <t>TIME</t>
    <phoneticPr fontId="4" type="noConversion"/>
  </si>
  <si>
    <t>39%+9%</t>
    <phoneticPr fontId="4" type="noConversion"/>
  </si>
  <si>
    <t>屬</t>
    <phoneticPr fontId="4" type="noConversion"/>
  </si>
  <si>
    <t>-2</t>
    <phoneticPr fontId="4" type="noConversion"/>
  </si>
  <si>
    <t>-4</t>
    <phoneticPr fontId="4" type="noConversion"/>
  </si>
  <si>
    <t>-6</t>
    <phoneticPr fontId="4" type="noConversion"/>
  </si>
  <si>
    <t>-7</t>
    <phoneticPr fontId="4" type="noConversion"/>
  </si>
  <si>
    <t>-8</t>
    <phoneticPr fontId="4" type="noConversion"/>
  </si>
  <si>
    <t>Hat</t>
    <phoneticPr fontId="4" type="noConversion"/>
  </si>
  <si>
    <t>Equip Adjust</t>
    <phoneticPr fontId="4" type="noConversion"/>
  </si>
  <si>
    <t>DPS Diff</t>
    <phoneticPr fontId="4" type="noConversion"/>
  </si>
  <si>
    <t>Full INT</t>
    <phoneticPr fontId="4" type="noConversion"/>
  </si>
  <si>
    <t>WF</t>
    <phoneticPr fontId="4" type="noConversion"/>
  </si>
  <si>
    <t>TD</t>
    <phoneticPr fontId="4" type="noConversion"/>
  </si>
  <si>
    <t>EB</t>
    <phoneticPr fontId="4" type="noConversion"/>
  </si>
  <si>
    <t>ReturnFlame</t>
  </si>
  <si>
    <t>WkB</t>
    <phoneticPr fontId="4" type="noConversion"/>
  </si>
  <si>
    <t>LS</t>
    <phoneticPr fontId="4" type="noConversion"/>
  </si>
  <si>
    <t>until 13300ms為止</t>
    <phoneticPr fontId="4" type="noConversion"/>
  </si>
  <si>
    <t>Continual</t>
    <phoneticPr fontId="4" type="noConversion"/>
  </si>
  <si>
    <t>Rotation</t>
    <phoneticPr fontId="4" type="noConversion"/>
  </si>
  <si>
    <t>Burst</t>
    <phoneticPr fontId="4" type="noConversion"/>
  </si>
  <si>
    <t>Continual %</t>
    <phoneticPr fontId="4" type="noConversion"/>
  </si>
  <si>
    <t>Rotation %</t>
    <phoneticPr fontId="4" type="noConversion"/>
  </si>
  <si>
    <t>Burst %</t>
    <phoneticPr fontId="4" type="noConversion"/>
  </si>
  <si>
    <t>120 Compare</t>
    <phoneticPr fontId="4" type="noConversion"/>
  </si>
  <si>
    <t>180 Compare</t>
    <phoneticPr fontId="4" type="noConversion"/>
  </si>
  <si>
    <t>One EB cycle compare</t>
    <phoneticPr fontId="4" type="noConversion"/>
  </si>
  <si>
    <t xml:space="preserve">  </t>
    <phoneticPr fontId="4" type="noConversion"/>
  </si>
  <si>
    <t>init CD</t>
    <phoneticPr fontId="4" type="noConversion"/>
  </si>
  <si>
    <t>↓now↓</t>
    <phoneticPr fontId="4" type="noConversion"/>
  </si>
  <si>
    <t>one ER</t>
    <phoneticPr fontId="4" type="noConversion"/>
  </si>
  <si>
    <t>ER</t>
    <phoneticPr fontId="4" type="noConversion"/>
  </si>
  <si>
    <t>ZB</t>
    <phoneticPr fontId="4" type="noConversion"/>
  </si>
  <si>
    <t>Mercedes</t>
    <phoneticPr fontId="4" type="noConversion"/>
  </si>
  <si>
    <t>Hyper</t>
    <phoneticPr fontId="4" type="noConversion"/>
  </si>
  <si>
    <t>CD Hat</t>
    <phoneticPr fontId="4" type="noConversion"/>
  </si>
  <si>
    <t>剩餘超技能點數</t>
    <phoneticPr fontId="4" type="noConversion"/>
  </si>
  <si>
    <t>龍之迅捷-冷卻減免</t>
    <phoneticPr fontId="4" type="noConversion"/>
  </si>
  <si>
    <t>Wind Flash</t>
  </si>
  <si>
    <t>Thunder Flash</t>
  </si>
  <si>
    <t>Thunder Dive</t>
  </si>
  <si>
    <t>Earth Dive</t>
  </si>
  <si>
    <t>Wind Breath</t>
  </si>
  <si>
    <t> Earth Breath</t>
  </si>
  <si>
    <t>Dragon Slam</t>
  </si>
  <si>
    <t>Elemental Barrage</t>
  </si>
  <si>
    <t>Wyrmking's Breath</t>
  </si>
  <si>
    <t>Ludicrous Speed</t>
  </si>
  <si>
    <t>Return Flame</t>
  </si>
  <si>
    <t>Low HP</t>
    <phoneticPr fontId="4" type="noConversion"/>
  </si>
  <si>
    <t>Combat Orders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</si>
</sst>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%"/>
  </numFmts>
  <fonts count="17">
    <font>
      <sz val="12"/>
      <color theme="1"/>
      <name val="Calibri"/>
      <scheme val="minor"/>
    </font>
    <font>
      <sz val="12"/>
      <color theme="1"/>
      <name val="Microsoft JhengHei"/>
      <family val="2"/>
      <charset val="136"/>
    </font>
    <font>
      <sz val="12"/>
      <name val="Calibri"/>
    </font>
    <font>
      <sz val="12"/>
      <color theme="1"/>
      <name val="Calibri"/>
      <scheme val="minor"/>
    </font>
    <font>
      <sz val="9"/>
      <name val="Calibri"/>
      <family val="3"/>
      <charset val="136"/>
      <scheme val="minor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sz val="11"/>
      <color theme="1"/>
      <name val="Calibri"/>
      <family val="2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12"/>
      <color theme="1"/>
      <name val="Calibri"/>
      <family val="2"/>
      <charset val="136"/>
    </font>
    <font>
      <sz val="12"/>
      <color theme="1"/>
      <name val="Calibri"/>
      <family val="2"/>
    </font>
    <font>
      <sz val="12"/>
      <color theme="1"/>
      <name val="Microsoft JhengHei"/>
      <family val="2"/>
    </font>
    <font>
      <sz val="12"/>
      <color theme="1"/>
      <name val="Microsoft JhengHei"/>
      <charset val="136"/>
    </font>
    <font>
      <sz val="12"/>
      <color theme="1"/>
      <name val="Calibri"/>
      <family val="2"/>
      <scheme val="minor"/>
    </font>
    <font>
      <sz val="12"/>
      <name val="Microsoft JhengHei"/>
      <family val="2"/>
      <charset val="136"/>
    </font>
  </fonts>
  <fills count="25">
    <fill>
      <patternFill patternType="none"/>
    </fill>
    <fill>
      <patternFill patternType="gray125"/>
    </fill>
    <fill>
      <patternFill patternType="solid">
        <fgColor rgb="FFFFCCFF"/>
        <bgColor rgb="FFFFCCFF"/>
      </patternFill>
    </fill>
    <fill>
      <patternFill patternType="solid">
        <fgColor rgb="FFCEE5EA"/>
        <bgColor rgb="FFCEE5EA"/>
      </patternFill>
    </fill>
    <fill>
      <patternFill patternType="solid">
        <fgColor rgb="FFC1AA89"/>
        <bgColor rgb="FFC1AA89"/>
      </patternFill>
    </fill>
    <fill>
      <patternFill patternType="solid">
        <fgColor rgb="FFF4B083"/>
        <bgColor rgb="FFF4B083"/>
      </patternFill>
    </fill>
    <fill>
      <patternFill patternType="solid">
        <fgColor rgb="FFFFE5FF"/>
        <bgColor rgb="FFFFE5FF"/>
      </patternFill>
    </fill>
    <fill>
      <patternFill patternType="solid">
        <fgColor rgb="FFE2EFD9"/>
        <bgColor rgb="FFE2EFD9"/>
      </patternFill>
    </fill>
    <fill>
      <patternFill patternType="solid">
        <fgColor rgb="FFEFB3E4"/>
        <bgColor rgb="FFEFB3E4"/>
      </patternFill>
    </fill>
    <fill>
      <patternFill patternType="solid">
        <fgColor rgb="FFD9E2F3"/>
        <bgColor rgb="FFD9E2F3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0"/>
        <bgColor rgb="FFCEE5EA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1AA89"/>
      </patternFill>
    </fill>
    <fill>
      <patternFill patternType="solid">
        <fgColor theme="0"/>
        <bgColor rgb="FFF4B083"/>
      </patternFill>
    </fill>
    <fill>
      <patternFill patternType="solid">
        <fgColor theme="0"/>
        <bgColor rgb="FFEFB3E4"/>
      </patternFill>
    </fill>
    <fill>
      <patternFill patternType="solid">
        <fgColor rgb="FFFF9999"/>
        <bgColor indexed="64"/>
      </patternFill>
    </fill>
    <fill>
      <patternFill patternType="solid">
        <fgColor rgb="FFFFCC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13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9" fontId="1" fillId="6" borderId="4" xfId="0" applyNumberFormat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10" borderId="5" xfId="0" applyNumberFormat="1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5" fillId="11" borderId="5" xfId="0" applyFont="1" applyFill="1" applyBorder="1" applyAlignment="1">
      <alignment horizontal="center"/>
    </xf>
    <xf numFmtId="0" fontId="5" fillId="12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horizontal="center"/>
    </xf>
    <xf numFmtId="2" fontId="5" fillId="12" borderId="5" xfId="0" applyNumberFormat="1" applyFont="1" applyFill="1" applyBorder="1" applyAlignment="1">
      <alignment horizontal="center"/>
    </xf>
    <xf numFmtId="2" fontId="5" fillId="13" borderId="5" xfId="0" applyNumberFormat="1" applyFont="1" applyFill="1" applyBorder="1" applyAlignment="1">
      <alignment horizontal="center"/>
    </xf>
    <xf numFmtId="0" fontId="5" fillId="14" borderId="5" xfId="0" applyFont="1" applyFill="1" applyBorder="1" applyAlignment="1">
      <alignment horizontal="center"/>
    </xf>
    <xf numFmtId="9" fontId="5" fillId="12" borderId="5" xfId="0" applyNumberFormat="1" applyFont="1" applyFill="1" applyBorder="1" applyAlignment="1">
      <alignment horizontal="center"/>
    </xf>
    <xf numFmtId="176" fontId="6" fillId="10" borderId="5" xfId="0" applyNumberFormat="1" applyFont="1" applyFill="1" applyBorder="1" applyAlignment="1">
      <alignment horizontal="center"/>
    </xf>
    <xf numFmtId="176" fontId="5" fillId="10" borderId="5" xfId="0" applyNumberFormat="1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9" fontId="1" fillId="0" borderId="8" xfId="0" applyNumberFormat="1" applyFont="1" applyBorder="1" applyAlignment="1">
      <alignment horizontal="center" vertical="center"/>
    </xf>
    <xf numFmtId="9" fontId="1" fillId="0" borderId="5" xfId="0" applyNumberFormat="1" applyFont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1" fontId="1" fillId="17" borderId="5" xfId="0" applyNumberFormat="1" applyFont="1" applyFill="1" applyBorder="1" applyAlignment="1">
      <alignment horizontal="center" vertical="center"/>
    </xf>
    <xf numFmtId="0" fontId="0" fillId="15" borderId="5" xfId="0" applyFill="1" applyBorder="1" applyAlignment="1">
      <alignment vertical="center"/>
    </xf>
    <xf numFmtId="2" fontId="1" fillId="0" borderId="5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9" fontId="1" fillId="0" borderId="9" xfId="0" applyNumberFormat="1" applyFont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1" fontId="8" fillId="18" borderId="5" xfId="0" applyNumberFormat="1" applyFont="1" applyFill="1" applyBorder="1" applyAlignment="1">
      <alignment horizontal="center" vertical="center"/>
    </xf>
    <xf numFmtId="0" fontId="8" fillId="19" borderId="5" xfId="0" applyFont="1" applyFill="1" applyBorder="1" applyAlignment="1">
      <alignment horizontal="center" vertical="center"/>
    </xf>
    <xf numFmtId="1" fontId="8" fillId="20" borderId="5" xfId="0" applyNumberFormat="1" applyFont="1" applyFill="1" applyBorder="1" applyAlignment="1">
      <alignment horizontal="center" vertical="center"/>
    </xf>
    <xf numFmtId="2" fontId="8" fillId="19" borderId="5" xfId="0" applyNumberFormat="1" applyFont="1" applyFill="1" applyBorder="1" applyAlignment="1">
      <alignment horizontal="center" vertical="center"/>
    </xf>
    <xf numFmtId="1" fontId="8" fillId="21" borderId="5" xfId="0" applyNumberFormat="1" applyFont="1" applyFill="1" applyBorder="1" applyAlignment="1">
      <alignment horizontal="center" vertical="center"/>
    </xf>
    <xf numFmtId="1" fontId="8" fillId="22" borderId="5" xfId="0" applyNumberFormat="1" applyFont="1" applyFill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2" fontId="10" fillId="13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15" fillId="16" borderId="5" xfId="0" applyFon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49" fontId="15" fillId="16" borderId="5" xfId="0" applyNumberFormat="1" applyFont="1" applyFill="1" applyBorder="1" applyAlignment="1">
      <alignment horizontal="center" vertical="center"/>
    </xf>
    <xf numFmtId="49" fontId="1" fillId="16" borderId="5" xfId="0" applyNumberFormat="1" applyFont="1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5" fillId="15" borderId="5" xfId="0" applyFont="1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 vertical="center"/>
    </xf>
    <xf numFmtId="9" fontId="0" fillId="12" borderId="5" xfId="1" applyFont="1" applyFill="1" applyBorder="1" applyAlignment="1">
      <alignment horizontal="center" vertical="center"/>
    </xf>
    <xf numFmtId="9" fontId="0" fillId="12" borderId="5" xfId="0" applyNumberForma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1" fontId="0" fillId="13" borderId="5" xfId="0" applyNumberForma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1" fontId="0" fillId="16" borderId="5" xfId="0" applyNumberFormat="1" applyFill="1" applyBorder="1" applyAlignment="1">
      <alignment horizontal="center" vertical="center"/>
    </xf>
    <xf numFmtId="0" fontId="16" fillId="23" borderId="5" xfId="0" applyFont="1" applyFill="1" applyBorder="1" applyAlignment="1">
      <alignment horizontal="center" vertical="center"/>
    </xf>
    <xf numFmtId="177" fontId="0" fillId="23" borderId="5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9" fontId="15" fillId="0" borderId="5" xfId="0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76" fontId="5" fillId="24" borderId="5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24" borderId="5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FFCCFF"/>
      <color rgb="FFF15D5D"/>
      <color rgb="FFFF9999"/>
      <color rgb="FFFF0909"/>
      <color rgb="FFCC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傷害</a:t>
            </a:r>
            <a:r>
              <a:rPr lang="en-US"/>
              <a:t>%</a:t>
            </a:r>
            <a:r>
              <a:rPr lang="zh-TW"/>
              <a:t> </a:t>
            </a:r>
            <a:r>
              <a:rPr lang="en-US"/>
              <a:t>vs. </a:t>
            </a:r>
            <a:r>
              <a:rPr lang="zh-TW"/>
              <a:t>傷害時機</a:t>
            </a:r>
          </a:p>
        </c:rich>
      </c:tx>
      <c:layout>
        <c:manualLayout>
          <c:xMode val="edge"/>
          <c:yMode val="edge"/>
          <c:x val="0.38400325165285148"/>
          <c:y val="2.1965952773201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385861363705154"/>
          <c:y val="0.1508694856306059"/>
          <c:w val="0.82414248466058715"/>
          <c:h val="0.66795435578789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'技能% &amp; ONHIT間隔'!$B$3</c:f>
              <c:strCache>
                <c:ptCount val="1"/>
                <c:pt idx="0">
                  <c:v>風之捷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'技能% &amp; ONHIT間隔'!$C$12:$J$12</c:f>
              <c:numCache>
                <c:formatCode>General</c:formatCode>
                <c:ptCount val="8"/>
                <c:pt idx="0">
                  <c:v>0</c:v>
                </c:pt>
                <c:pt idx="1">
                  <c:v>510</c:v>
                </c:pt>
                <c:pt idx="2">
                  <c:v>1020</c:v>
                </c:pt>
                <c:pt idx="3">
                  <c:v>1530</c:v>
                </c:pt>
                <c:pt idx="4">
                  <c:v>2040</c:v>
                </c:pt>
                <c:pt idx="5">
                  <c:v>2550</c:v>
                </c:pt>
                <c:pt idx="6">
                  <c:v>3060</c:v>
                </c:pt>
                <c:pt idx="7">
                  <c:v>3570</c:v>
                </c:pt>
              </c:numCache>
              <c:extLst xmlns:c15="http://schemas.microsoft.com/office/drawing/2012/chart"/>
            </c:numRef>
          </c:xVal>
          <c:yVal>
            <c:numRef>
              <c:f>'技能% &amp; ONHIT間隔'!$C$28:$J$28</c:f>
              <c:numCache>
                <c:formatCode>0</c:formatCode>
                <c:ptCount val="8"/>
                <c:pt idx="0">
                  <c:v>3247.2000000000003</c:v>
                </c:pt>
                <c:pt idx="1">
                  <c:v>3247.2000000000003</c:v>
                </c:pt>
                <c:pt idx="2">
                  <c:v>3247.2000000000003</c:v>
                </c:pt>
                <c:pt idx="3">
                  <c:v>3247.2000000000003</c:v>
                </c:pt>
                <c:pt idx="4">
                  <c:v>3247.2000000000003</c:v>
                </c:pt>
                <c:pt idx="5">
                  <c:v>3247.2000000000003</c:v>
                </c:pt>
                <c:pt idx="6">
                  <c:v>3247.2000000000003</c:v>
                </c:pt>
                <c:pt idx="7">
                  <c:v>3247.2000000000003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26C-4840-BAA8-2BDE322C5366}"/>
            </c:ext>
          </c:extLst>
        </c:ser>
        <c:ser>
          <c:idx val="1"/>
          <c:order val="1"/>
          <c:tx>
            <c:strRef>
              <c:f>'技能% &amp; ONHIT間隔'!$B$13</c:f>
              <c:strCache>
                <c:ptCount val="1"/>
                <c:pt idx="0">
                  <c:v>閃雷之捷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'技能% &amp; ONHIT間隔'!$C$13:$J$13</c:f>
              <c:numCache>
                <c:formatCode>General</c:formatCode>
                <c:ptCount val="8"/>
                <c:pt idx="0">
                  <c:v>480</c:v>
                </c:pt>
                <c:pt idx="1">
                  <c:v>840</c:v>
                </c:pt>
                <c:pt idx="2">
                  <c:v>1200</c:v>
                </c:pt>
                <c:pt idx="3">
                  <c:v>1560</c:v>
                </c:pt>
                <c:pt idx="4">
                  <c:v>1920</c:v>
                </c:pt>
              </c:numCache>
            </c:numRef>
          </c:xVal>
          <c:yVal>
            <c:numRef>
              <c:f>'技能% &amp; ONHIT間隔'!$C$29:$J$29</c:f>
              <c:numCache>
                <c:formatCode>0</c:formatCode>
                <c:ptCount val="8"/>
                <c:pt idx="0">
                  <c:v>28600.000000000004</c:v>
                </c:pt>
                <c:pt idx="1">
                  <c:v>11440.000000000002</c:v>
                </c:pt>
                <c:pt idx="2">
                  <c:v>4576.0000000000009</c:v>
                </c:pt>
                <c:pt idx="3">
                  <c:v>1830.4000000000005</c:v>
                </c:pt>
                <c:pt idx="4">
                  <c:v>732.16000000000031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C-4840-BAA8-2BDE322C5366}"/>
            </c:ext>
          </c:extLst>
        </c:ser>
        <c:ser>
          <c:idx val="2"/>
          <c:order val="2"/>
          <c:tx>
            <c:strRef>
              <c:f>'技能% &amp; ONHIT間隔'!$B$14</c:f>
              <c:strCache>
                <c:ptCount val="1"/>
                <c:pt idx="0">
                  <c:v>閃雷之躍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'技能% &amp; ONHIT間隔'!$C$14:$J$14</c:f>
              <c:numCache>
                <c:formatCode>General</c:formatCode>
                <c:ptCount val="8"/>
                <c:pt idx="0">
                  <c:v>0</c:v>
                </c:pt>
                <c:pt idx="1">
                  <c:v>700</c:v>
                </c:pt>
                <c:pt idx="2">
                  <c:v>1400</c:v>
                </c:pt>
                <c:pt idx="3">
                  <c:v>2100</c:v>
                </c:pt>
                <c:pt idx="4">
                  <c:v>2800</c:v>
                </c:pt>
                <c:pt idx="5">
                  <c:v>3500</c:v>
                </c:pt>
              </c:numCache>
              <c:extLst xmlns:c15="http://schemas.microsoft.com/office/drawing/2012/chart"/>
            </c:numRef>
          </c:xVal>
          <c:yVal>
            <c:numRef>
              <c:f>'技能% &amp; ONHIT間隔'!$C$30:$J$30</c:f>
              <c:numCache>
                <c:formatCode>0</c:formatCode>
                <c:ptCount val="8"/>
                <c:pt idx="0">
                  <c:v>3044.8</c:v>
                </c:pt>
                <c:pt idx="1">
                  <c:v>3044.8</c:v>
                </c:pt>
                <c:pt idx="2">
                  <c:v>3044.8</c:v>
                </c:pt>
                <c:pt idx="3">
                  <c:v>3044.8</c:v>
                </c:pt>
                <c:pt idx="4">
                  <c:v>3044.8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26C-4840-BAA8-2BDE322C5366}"/>
            </c:ext>
          </c:extLst>
        </c:ser>
        <c:ser>
          <c:idx val="3"/>
          <c:order val="3"/>
          <c:tx>
            <c:strRef>
              <c:f>'技能% &amp; ONHIT間隔'!$B$15</c:f>
              <c:strCache>
                <c:ptCount val="1"/>
                <c:pt idx="0">
                  <c:v>塵土之躍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'技能% &amp; ONHIT間隔'!$C$15:$J$15</c:f>
              <c:numCache>
                <c:formatCode>General</c:formatCode>
                <c:ptCount val="8"/>
                <c:pt idx="0">
                  <c:v>0</c:v>
                </c:pt>
                <c:pt idx="1">
                  <c:v>960</c:v>
                </c:pt>
                <c:pt idx="2">
                  <c:v>1440</c:v>
                </c:pt>
                <c:pt idx="3">
                  <c:v>1920</c:v>
                </c:pt>
              </c:numCache>
            </c:numRef>
          </c:xVal>
          <c:yVal>
            <c:numRef>
              <c:f>'技能% &amp; ONHIT間隔'!$C$31:$J$31</c:f>
              <c:numCache>
                <c:formatCode>0</c:formatCode>
                <c:ptCount val="8"/>
                <c:pt idx="0">
                  <c:v>22000</c:v>
                </c:pt>
                <c:pt idx="1">
                  <c:v>11000</c:v>
                </c:pt>
                <c:pt idx="2">
                  <c:v>5500</c:v>
                </c:pt>
                <c:pt idx="3">
                  <c:v>2750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C-4840-BAA8-2BDE322C5366}"/>
            </c:ext>
          </c:extLst>
        </c:ser>
        <c:ser>
          <c:idx val="4"/>
          <c:order val="4"/>
          <c:tx>
            <c:strRef>
              <c:f>'技能% &amp; ONHIT間隔'!$B$16</c:f>
              <c:strCache>
                <c:ptCount val="1"/>
                <c:pt idx="0">
                  <c:v>風之氣息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'技能% &amp; ONHIT間隔'!$C$16:$J$16</c:f>
              <c:numCache>
                <c:formatCode>General</c:formatCode>
                <c:ptCount val="8"/>
                <c:pt idx="0">
                  <c:v>0</c:v>
                </c:pt>
                <c:pt idx="1">
                  <c:v>360</c:v>
                </c:pt>
                <c:pt idx="2">
                  <c:v>720</c:v>
                </c:pt>
                <c:pt idx="3">
                  <c:v>1080</c:v>
                </c:pt>
                <c:pt idx="4">
                  <c:v>1440</c:v>
                </c:pt>
                <c:pt idx="5">
                  <c:v>1800</c:v>
                </c:pt>
                <c:pt idx="6">
                  <c:v>2160</c:v>
                </c:pt>
                <c:pt idx="7">
                  <c:v>2520</c:v>
                </c:pt>
              </c:numCache>
            </c:numRef>
          </c:xVal>
          <c:yVal>
            <c:numRef>
              <c:f>'技能% &amp; ONHIT間隔'!$C$32:$J$32</c:f>
              <c:numCache>
                <c:formatCode>0</c:formatCode>
                <c:ptCount val="8"/>
                <c:pt idx="0">
                  <c:v>4844.4000000000005</c:v>
                </c:pt>
                <c:pt idx="1">
                  <c:v>4844.4000000000005</c:v>
                </c:pt>
                <c:pt idx="2">
                  <c:v>4844.4000000000005</c:v>
                </c:pt>
                <c:pt idx="3">
                  <c:v>4844.4000000000005</c:v>
                </c:pt>
                <c:pt idx="4">
                  <c:v>4844.4000000000005</c:v>
                </c:pt>
                <c:pt idx="5">
                  <c:v>4844.4000000000005</c:v>
                </c:pt>
                <c:pt idx="6">
                  <c:v>4844.4000000000005</c:v>
                </c:pt>
                <c:pt idx="7">
                  <c:v>4844.4000000000005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6C-4840-BAA8-2BDE322C5366}"/>
            </c:ext>
          </c:extLst>
        </c:ser>
        <c:ser>
          <c:idx val="5"/>
          <c:order val="5"/>
          <c:tx>
            <c:strRef>
              <c:f>'技能% &amp; ONHIT間隔'!$B$17</c:f>
              <c:strCache>
                <c:ptCount val="1"/>
                <c:pt idx="0">
                  <c:v>大地氣息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'技能% &amp; ONHIT間隔'!$C$17:$J$17</c:f>
              <c:numCache>
                <c:formatCode>General</c:formatCode>
                <c:ptCount val="8"/>
                <c:pt idx="0">
                  <c:v>450</c:v>
                </c:pt>
                <c:pt idx="1">
                  <c:v>900</c:v>
                </c:pt>
                <c:pt idx="2">
                  <c:v>1350</c:v>
                </c:pt>
                <c:pt idx="3">
                  <c:v>1800</c:v>
                </c:pt>
                <c:pt idx="4">
                  <c:v>2250</c:v>
                </c:pt>
                <c:pt idx="5">
                  <c:v>2700</c:v>
                </c:pt>
                <c:pt idx="6">
                  <c:v>3150</c:v>
                </c:pt>
              </c:numCache>
            </c:numRef>
          </c:xVal>
          <c:yVal>
            <c:numRef>
              <c:f>'技能% &amp; ONHIT間隔'!$C$33:$J$33</c:f>
              <c:numCache>
                <c:formatCode>0</c:formatCode>
                <c:ptCount val="8"/>
                <c:pt idx="0">
                  <c:v>3709.2000000000003</c:v>
                </c:pt>
                <c:pt idx="1">
                  <c:v>3709.2000000000003</c:v>
                </c:pt>
                <c:pt idx="2">
                  <c:v>3709.2000000000003</c:v>
                </c:pt>
                <c:pt idx="3">
                  <c:v>3709.2000000000003</c:v>
                </c:pt>
                <c:pt idx="4">
                  <c:v>3709.2000000000003</c:v>
                </c:pt>
                <c:pt idx="5">
                  <c:v>3709.2000000000003</c:v>
                </c:pt>
                <c:pt idx="6">
                  <c:v>3709.2000000000003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6C-4840-BAA8-2BDE322C5366}"/>
            </c:ext>
          </c:extLst>
        </c:ser>
        <c:ser>
          <c:idx val="6"/>
          <c:order val="6"/>
          <c:tx>
            <c:strRef>
              <c:f>'技能% &amp; ONHIT間隔'!$B$18</c:f>
              <c:strCache>
                <c:ptCount val="1"/>
                <c:pt idx="0">
                  <c:v>聖龍突襲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'技能% &amp; ONHIT間隔'!$C$18:$J$18</c:f>
              <c:numCache>
                <c:formatCode>General</c:formatCode>
                <c:ptCount val="8"/>
                <c:pt idx="0">
                  <c:v>80</c:v>
                </c:pt>
                <c:pt idx="1">
                  <c:v>200</c:v>
                </c:pt>
                <c:pt idx="2">
                  <c:v>500</c:v>
                </c:pt>
                <c:pt idx="3">
                  <c:v>800</c:v>
                </c:pt>
                <c:pt idx="4">
                  <c:v>1280</c:v>
                </c:pt>
                <c:pt idx="5">
                  <c:v>1680</c:v>
                </c:pt>
              </c:numCache>
            </c:numRef>
          </c:xVal>
          <c:yVal>
            <c:numRef>
              <c:f>'技能% &amp; ONHIT間隔'!$C$34:$J$34</c:f>
              <c:numCache>
                <c:formatCode>0</c:formatCode>
                <c:ptCount val="8"/>
                <c:pt idx="0">
                  <c:v>14168</c:v>
                </c:pt>
                <c:pt idx="1">
                  <c:v>14168</c:v>
                </c:pt>
                <c:pt idx="2">
                  <c:v>14168</c:v>
                </c:pt>
                <c:pt idx="3">
                  <c:v>14168</c:v>
                </c:pt>
                <c:pt idx="4">
                  <c:v>14168</c:v>
                </c:pt>
                <c:pt idx="5">
                  <c:v>14168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6C-4840-BAA8-2BDE322C5366}"/>
            </c:ext>
          </c:extLst>
        </c:ser>
        <c:ser>
          <c:idx val="7"/>
          <c:order val="7"/>
          <c:tx>
            <c:strRef>
              <c:f>'技能% &amp; ONHIT間隔'!$B$35</c:f>
              <c:strCache>
                <c:ptCount val="1"/>
                <c:pt idx="0">
                  <c:v>元素滅殺破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'技能% &amp; ONHIT間隔'!$C$21:$F$21</c:f>
              <c:numCache>
                <c:formatCode>General</c:formatCode>
                <c:ptCount val="4"/>
                <c:pt idx="0">
                  <c:v>660</c:v>
                </c:pt>
                <c:pt idx="1">
                  <c:v>1890</c:v>
                </c:pt>
                <c:pt idx="2">
                  <c:v>2450</c:v>
                </c:pt>
                <c:pt idx="3">
                  <c:v>3300</c:v>
                </c:pt>
              </c:numCache>
            </c:numRef>
          </c:xVal>
          <c:yVal>
            <c:numRef>
              <c:f>基礎!$M$28:$P$28</c:f>
              <c:numCache>
                <c:formatCode>0</c:formatCode>
                <c:ptCount val="4"/>
                <c:pt idx="0">
                  <c:v>21824</c:v>
                </c:pt>
                <c:pt idx="1">
                  <c:v>21824</c:v>
                </c:pt>
                <c:pt idx="2">
                  <c:v>21824</c:v>
                </c:pt>
                <c:pt idx="3">
                  <c:v>21824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D2-4A03-885D-CE279C71DD9E}"/>
            </c:ext>
          </c:extLst>
        </c:ser>
        <c:ser>
          <c:idx val="8"/>
          <c:order val="8"/>
          <c:tx>
            <c:strRef>
              <c:f>'技能% &amp; ONHIT間隔'!$B$36</c:f>
              <c:strCache>
                <c:ptCount val="1"/>
                <c:pt idx="0">
                  <c:v>歐尼斯之氣息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'技能% &amp; ONHIT間隔'!$C$20:$R$20</c:f>
              <c:numCache>
                <c:formatCode>General</c:formatCode>
                <c:ptCount val="16"/>
                <c:pt idx="0">
                  <c:v>1200</c:v>
                </c:pt>
                <c:pt idx="1">
                  <c:v>1440</c:v>
                </c:pt>
                <c:pt idx="2">
                  <c:v>1680</c:v>
                </c:pt>
                <c:pt idx="3">
                  <c:v>1920</c:v>
                </c:pt>
                <c:pt idx="4">
                  <c:v>2160</c:v>
                </c:pt>
                <c:pt idx="5">
                  <c:v>2400</c:v>
                </c:pt>
                <c:pt idx="6">
                  <c:v>2640</c:v>
                </c:pt>
                <c:pt idx="7">
                  <c:v>2880</c:v>
                </c:pt>
                <c:pt idx="8">
                  <c:v>3120</c:v>
                </c:pt>
                <c:pt idx="9">
                  <c:v>3360</c:v>
                </c:pt>
                <c:pt idx="10">
                  <c:v>3600</c:v>
                </c:pt>
                <c:pt idx="11">
                  <c:v>3840</c:v>
                </c:pt>
                <c:pt idx="12">
                  <c:v>4080</c:v>
                </c:pt>
                <c:pt idx="13">
                  <c:v>4320</c:v>
                </c:pt>
                <c:pt idx="14">
                  <c:v>4560</c:v>
                </c:pt>
                <c:pt idx="15">
                  <c:v>4800</c:v>
                </c:pt>
              </c:numCache>
            </c:numRef>
          </c:xVal>
          <c:yVal>
            <c:numRef>
              <c:f>基礎!$M$29:$AB$29</c:f>
              <c:numCache>
                <c:formatCode>0</c:formatCode>
                <c:ptCount val="16"/>
                <c:pt idx="0">
                  <c:v>14784</c:v>
                </c:pt>
                <c:pt idx="1">
                  <c:v>14784</c:v>
                </c:pt>
                <c:pt idx="2">
                  <c:v>14784</c:v>
                </c:pt>
                <c:pt idx="3">
                  <c:v>14784</c:v>
                </c:pt>
                <c:pt idx="4">
                  <c:v>14784</c:v>
                </c:pt>
                <c:pt idx="5">
                  <c:v>14784</c:v>
                </c:pt>
                <c:pt idx="6">
                  <c:v>14784</c:v>
                </c:pt>
                <c:pt idx="7">
                  <c:v>14784</c:v>
                </c:pt>
                <c:pt idx="8">
                  <c:v>14784</c:v>
                </c:pt>
                <c:pt idx="9">
                  <c:v>14784</c:v>
                </c:pt>
                <c:pt idx="10">
                  <c:v>14784</c:v>
                </c:pt>
                <c:pt idx="11">
                  <c:v>14784</c:v>
                </c:pt>
                <c:pt idx="12">
                  <c:v>14784</c:v>
                </c:pt>
                <c:pt idx="13">
                  <c:v>14784</c:v>
                </c:pt>
                <c:pt idx="14">
                  <c:v>14784</c:v>
                </c:pt>
                <c:pt idx="15">
                  <c:v>14784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D2-4A03-885D-CE279C71D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966512"/>
        <c:axId val="790971792"/>
        <c:extLst/>
      </c:scatterChart>
      <c:valAx>
        <c:axId val="79096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時間</a:t>
                </a:r>
                <a:r>
                  <a:rPr lang="en-US"/>
                  <a:t>(ms)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0.47783543115504729"/>
              <c:y val="0.86714259564341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0971792"/>
        <c:crosses val="autoZero"/>
        <c:crossBetween val="midCat"/>
      </c:valAx>
      <c:valAx>
        <c:axId val="790971792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傷害</a:t>
                </a:r>
                <a:r>
                  <a:rPr lang="en-US"/>
                  <a:t>%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096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7457440966501922E-3"/>
          <c:y val="0.9193376775184815"/>
          <c:w val="0.99464720194647205"/>
          <c:h val="8.0662322481518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Damage composition under different hats</a:t>
            </a:r>
            <a:br>
              <a:rPr lang="en-US" altLang="zh-TW"/>
            </a:br>
            <a:r>
              <a:rPr lang="en-US" altLang="zh-TW"/>
              <a:t>(120 with Burst</a:t>
            </a:r>
            <a:r>
              <a:rPr lang="en-US" altLang="zh-TW" baseline="0"/>
              <a:t>)</a:t>
            </a:r>
            <a:endParaRPr lang="zh-TW" altLang="en-US"/>
          </a:p>
        </c:rich>
      </c:tx>
      <c:layout>
        <c:manualLayout>
          <c:xMode val="edge"/>
          <c:yMode val="edge"/>
          <c:x val="0.15380555555555558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745603674540686"/>
          <c:y val="0.20467592592592593"/>
          <c:w val="0.81643285214348194"/>
          <c:h val="0.57604913969087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'120 Compare'!$H$7</c:f>
              <c:strCache>
                <c:ptCount val="1"/>
                <c:pt idx="0">
                  <c:v>Continual %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'120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'120 Compare'!$H$8:$H$13</c:f>
              <c:numCache>
                <c:formatCode>0.00%</c:formatCode>
                <c:ptCount val="6"/>
                <c:pt idx="0">
                  <c:v>0.19496728803553542</c:v>
                </c:pt>
                <c:pt idx="1">
                  <c:v>0.18035600669806995</c:v>
                </c:pt>
                <c:pt idx="2">
                  <c:v>0.17809286137738864</c:v>
                </c:pt>
                <c:pt idx="3">
                  <c:v>0.1756335521855005</c:v>
                </c:pt>
                <c:pt idx="4">
                  <c:v>0.17542413454274652</c:v>
                </c:pt>
                <c:pt idx="5">
                  <c:v>0.17514826600054001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5-4A8D-B7F3-3340BD38A7CB}"/>
            </c:ext>
          </c:extLst>
        </c:ser>
        <c:ser>
          <c:idx val="1"/>
          <c:order val="1"/>
          <c:tx>
            <c:strRef>
              <c:f>'120 Compare'!$I$7</c:f>
              <c:strCache>
                <c:ptCount val="1"/>
                <c:pt idx="0">
                  <c:v>Rotation %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'120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'120 Compare'!$I$8:$I$13</c:f>
              <c:numCache>
                <c:formatCode>0.00%</c:formatCode>
                <c:ptCount val="6"/>
                <c:pt idx="0">
                  <c:v>0.51079085789586565</c:v>
                </c:pt>
                <c:pt idx="1">
                  <c:v>0.54924117443697584</c:v>
                </c:pt>
                <c:pt idx="2">
                  <c:v>0.55514544348762329</c:v>
                </c:pt>
                <c:pt idx="3">
                  <c:v>0.56104387559915125</c:v>
                </c:pt>
                <c:pt idx="4">
                  <c:v>0.56156726737538398</c:v>
                </c:pt>
                <c:pt idx="5">
                  <c:v>0.56251887123727629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5-4A8D-B7F3-3340BD38A7CB}"/>
            </c:ext>
          </c:extLst>
        </c:ser>
        <c:ser>
          <c:idx val="3"/>
          <c:order val="2"/>
          <c:tx>
            <c:strRef>
              <c:f>'120 Compare'!$J$7</c:f>
              <c:strCache>
                <c:ptCount val="1"/>
                <c:pt idx="0">
                  <c:v>Burst %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'120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'120 Compare'!$J$8:$J$13</c:f>
              <c:numCache>
                <c:formatCode>0.00%</c:formatCode>
                <c:ptCount val="6"/>
                <c:pt idx="0">
                  <c:v>0.29424185406859898</c:v>
                </c:pt>
                <c:pt idx="1">
                  <c:v>0.27040281886495415</c:v>
                </c:pt>
                <c:pt idx="2">
                  <c:v>0.26676169513498799</c:v>
                </c:pt>
                <c:pt idx="3">
                  <c:v>0.26332257221534827</c:v>
                </c:pt>
                <c:pt idx="4">
                  <c:v>0.26300859808186944</c:v>
                </c:pt>
                <c:pt idx="5">
                  <c:v>0.26233286276218376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5-4A8D-B7F3-3340BD38A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215567"/>
        <c:axId val="66218447"/>
      </c:barChart>
      <c:catAx>
        <c:axId val="6621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Different</a:t>
                </a:r>
                <a:r>
                  <a:rPr lang="en-US" altLang="zh-TW" baseline="0"/>
                  <a:t> hats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2650568678915129"/>
              <c:y val="0.84645778652668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18447"/>
        <c:crosses val="autoZero"/>
        <c:auto val="1"/>
        <c:lblAlgn val="ctr"/>
        <c:lblOffset val="100"/>
        <c:noMultiLvlLbl val="0"/>
      </c:catAx>
      <c:valAx>
        <c:axId val="662184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Damage(%)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1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22665126162374"/>
          <c:y val="0.90335580911924707"/>
          <c:w val="0.58725984218965921"/>
          <c:h val="7.7545622468308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Differences in damage under different hats</a:t>
            </a:r>
            <a:br>
              <a:rPr lang="en-US" altLang="zh-TW"/>
            </a:br>
            <a:r>
              <a:rPr lang="en-US" altLang="zh-TW"/>
              <a:t>(180 Compare</a:t>
            </a:r>
            <a:r>
              <a:rPr lang="en-US" altLang="zh-TW" baseline="0"/>
              <a:t>)</a:t>
            </a:r>
            <a:endParaRPr lang="zh-TW" altLang="en-US"/>
          </a:p>
        </c:rich>
      </c:tx>
      <c:layout>
        <c:manualLayout>
          <c:xMode val="edge"/>
          <c:yMode val="edge"/>
          <c:x val="0.15380555555555558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745603674540686"/>
          <c:y val="0.20467592592592593"/>
          <c:w val="0.81643285214348194"/>
          <c:h val="0.57604913969087201"/>
        </c:manualLayout>
      </c:layout>
      <c:lineChart>
        <c:grouping val="standard"/>
        <c:varyColors val="0"/>
        <c:ser>
          <c:idx val="0"/>
          <c:order val="0"/>
          <c:tx>
            <c:strRef>
              <c:f>'180 compare'!$B$7</c:f>
              <c:strCache>
                <c:ptCount val="1"/>
                <c:pt idx="0">
                  <c:v>Equip Adjust</c:v>
                </c:pt>
              </c:strCache>
            </c:strRef>
          </c:tx>
          <c:spPr>
            <a:ln w="1905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'180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'180 compare'!$B$8:$B$13</c:f>
              <c:numCache>
                <c:formatCode>0.0%</c:formatCode>
                <c:ptCount val="6"/>
                <c:pt idx="0">
                  <c:v>1.0367404867096801</c:v>
                </c:pt>
                <c:pt idx="1">
                  <c:v>1.0267899382258081</c:v>
                </c:pt>
                <c:pt idx="2">
                  <c:v>1.0168393897419366</c:v>
                </c:pt>
                <c:pt idx="3">
                  <c:v>1.0068888412580648</c:v>
                </c:pt>
                <c:pt idx="4">
                  <c:v>1</c:v>
                </c:pt>
                <c:pt idx="5">
                  <c:v>0.9946420123548384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6-4540-8D14-39CF283A3899}"/>
            </c:ext>
          </c:extLst>
        </c:ser>
        <c:ser>
          <c:idx val="1"/>
          <c:order val="1"/>
          <c:tx>
            <c:strRef>
              <c:f>'180 compare'!$C$7</c:f>
              <c:strCache>
                <c:ptCount val="1"/>
                <c:pt idx="0">
                  <c:v>DPS Diff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'180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'180 compare'!$C$8:$C$13</c:f>
              <c:numCache>
                <c:formatCode>0.0%</c:formatCode>
                <c:ptCount val="6"/>
                <c:pt idx="0">
                  <c:v>1</c:v>
                </c:pt>
                <c:pt idx="1">
                  <c:v>1.0158757831595409</c:v>
                </c:pt>
                <c:pt idx="2">
                  <c:v>1.0751929125577699</c:v>
                </c:pt>
                <c:pt idx="3">
                  <c:v>1.0993227434355617</c:v>
                </c:pt>
                <c:pt idx="4">
                  <c:v>1.1099966118511637</c:v>
                </c:pt>
                <c:pt idx="5">
                  <c:v>1.1120329666082072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6-4540-8D14-39CF283A3899}"/>
            </c:ext>
          </c:extLst>
        </c:ser>
        <c:ser>
          <c:idx val="3"/>
          <c:order val="2"/>
          <c:tx>
            <c:strRef>
              <c:f>'180 compare'!$D$7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rgbClr val="F15D5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15D5D"/>
              </a:solidFill>
              <a:ln w="9525">
                <a:solidFill>
                  <a:srgbClr val="F15D5D"/>
                </a:solidFill>
              </a:ln>
              <a:effectLst/>
            </c:spPr>
          </c:marker>
          <c:cat>
            <c:strRef>
              <c:f>'180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'180 compare'!$D$8:$D$13</c:f>
              <c:numCache>
                <c:formatCode>0.00%</c:formatCode>
                <c:ptCount val="6"/>
                <c:pt idx="0">
                  <c:v>1.0367404867096801</c:v>
                </c:pt>
                <c:pt idx="1">
                  <c:v>1.0430910326354794</c:v>
                </c:pt>
                <c:pt idx="2">
                  <c:v>1.0932985050600981</c:v>
                </c:pt>
                <c:pt idx="3">
                  <c:v>1.1068958033064695</c:v>
                </c:pt>
                <c:pt idx="4">
                  <c:v>1.1099966118511637</c:v>
                </c:pt>
                <c:pt idx="5">
                  <c:v>1.106074707712108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B6-4540-8D14-39CF283A3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15567"/>
        <c:axId val="66218447"/>
      </c:lineChart>
      <c:catAx>
        <c:axId val="6621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Different</a:t>
                </a:r>
                <a:r>
                  <a:rPr lang="en-US" altLang="zh-TW" baseline="0"/>
                  <a:t> hats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2650568678915129"/>
              <c:y val="0.84645778652668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18447"/>
        <c:crosses val="autoZero"/>
        <c:auto val="1"/>
        <c:lblAlgn val="ctr"/>
        <c:lblOffset val="100"/>
        <c:noMultiLvlLbl val="0"/>
      </c:catAx>
      <c:valAx>
        <c:axId val="66218447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Damage Adjust(%)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1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6570428696413"/>
          <c:y val="0.90335593467483233"/>
          <c:w val="0.667211934476569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Damage</a:t>
            </a:r>
            <a:r>
              <a:rPr lang="en-US" altLang="zh-TW" baseline="0"/>
              <a:t> composition</a:t>
            </a:r>
            <a:r>
              <a:rPr lang="en-US" altLang="zh-TW"/>
              <a:t> under different hats</a:t>
            </a:r>
            <a:br>
              <a:rPr lang="en-US" altLang="zh-TW"/>
            </a:br>
            <a:r>
              <a:rPr lang="en-US" altLang="zh-TW"/>
              <a:t>(180 with</a:t>
            </a:r>
            <a:r>
              <a:rPr lang="en-US" altLang="zh-TW" baseline="0"/>
              <a:t> Burst)</a:t>
            </a:r>
            <a:endParaRPr lang="zh-TW" altLang="en-US"/>
          </a:p>
        </c:rich>
      </c:tx>
      <c:layout>
        <c:manualLayout>
          <c:xMode val="edge"/>
          <c:yMode val="edge"/>
          <c:x val="0.15380555555555558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745603674540686"/>
          <c:y val="0.20467592592592593"/>
          <c:w val="0.81643285214348194"/>
          <c:h val="0.57604913969087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'180 compare'!$E$7</c:f>
              <c:strCache>
                <c:ptCount val="1"/>
                <c:pt idx="0">
                  <c:v>Continual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strRef>
              <c:f>'180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'180 compare'!$E$8:$E$13</c:f>
              <c:numCache>
                <c:formatCode>0%</c:formatCode>
                <c:ptCount val="6"/>
                <c:pt idx="0">
                  <c:v>158.30709999999999</c:v>
                </c:pt>
                <c:pt idx="1">
                  <c:v>158.3792</c:v>
                </c:pt>
                <c:pt idx="2">
                  <c:v>159.9761</c:v>
                </c:pt>
                <c:pt idx="3">
                  <c:v>160.1481</c:v>
                </c:pt>
                <c:pt idx="4">
                  <c:v>160.16290000000001</c:v>
                </c:pt>
                <c:pt idx="5">
                  <c:v>160.27619999999999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3-4051-B417-6308158D7D9A}"/>
            </c:ext>
          </c:extLst>
        </c:ser>
        <c:ser>
          <c:idx val="1"/>
          <c:order val="1"/>
          <c:tx>
            <c:strRef>
              <c:f>'180 compare'!$F$7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'180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'180 compare'!$F$8:$F$13</c:f>
              <c:numCache>
                <c:formatCode>0%</c:formatCode>
                <c:ptCount val="6"/>
                <c:pt idx="0">
                  <c:v>431.79360000000003</c:v>
                </c:pt>
                <c:pt idx="1">
                  <c:v>443.76580000000001</c:v>
                </c:pt>
                <c:pt idx="2">
                  <c:v>486.63670000000002</c:v>
                </c:pt>
                <c:pt idx="3">
                  <c:v>504.71039999999999</c:v>
                </c:pt>
                <c:pt idx="4">
                  <c:v>512.49080000000004</c:v>
                </c:pt>
                <c:pt idx="5">
                  <c:v>514.01189999999997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D3-4051-B417-6308158D7D9A}"/>
            </c:ext>
          </c:extLst>
        </c:ser>
        <c:ser>
          <c:idx val="3"/>
          <c:order val="2"/>
          <c:tx>
            <c:strRef>
              <c:f>'180 compare'!$G$7</c:f>
              <c:strCache>
                <c:ptCount val="1"/>
                <c:pt idx="0">
                  <c:v>Burst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'180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'180 compare'!$G$8:$G$13</c:f>
              <c:numCache>
                <c:formatCode>0%</c:formatCode>
                <c:ptCount val="6"/>
                <c:pt idx="0">
                  <c:v>160.16149999999999</c:v>
                </c:pt>
                <c:pt idx="1">
                  <c:v>160.0282</c:v>
                </c:pt>
                <c:pt idx="2">
                  <c:v>160.06379999999999</c:v>
                </c:pt>
                <c:pt idx="3">
                  <c:v>159.92179999999999</c:v>
                </c:pt>
                <c:pt idx="4">
                  <c:v>160.13480000000001</c:v>
                </c:pt>
                <c:pt idx="5">
                  <c:v>160.0282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D3-4051-B417-6308158D7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215567"/>
        <c:axId val="66218447"/>
      </c:barChart>
      <c:catAx>
        <c:axId val="6621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Different</a:t>
                </a:r>
                <a:r>
                  <a:rPr lang="en-US" altLang="zh-TW" baseline="0"/>
                  <a:t> hats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2650568678915129"/>
              <c:y val="0.84645778652668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18447"/>
        <c:crosses val="autoZero"/>
        <c:auto val="1"/>
        <c:lblAlgn val="ctr"/>
        <c:lblOffset val="100"/>
        <c:noMultiLvlLbl val="0"/>
      </c:catAx>
      <c:valAx>
        <c:axId val="662184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Damage(%)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1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82692839579753"/>
          <c:y val="0.9125463370861322"/>
          <c:w val="0.40656117865120123"/>
          <c:h val="7.9328692864770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Damage composition under different hats</a:t>
            </a:r>
            <a:br>
              <a:rPr lang="en-US" altLang="zh-TW"/>
            </a:br>
            <a:r>
              <a:rPr lang="en-US" altLang="zh-TW"/>
              <a:t>(180</a:t>
            </a:r>
            <a:r>
              <a:rPr lang="en-US" altLang="zh-TW" baseline="0"/>
              <a:t> with Burst)</a:t>
            </a:r>
            <a:endParaRPr lang="zh-TW" altLang="en-US"/>
          </a:p>
        </c:rich>
      </c:tx>
      <c:layout>
        <c:manualLayout>
          <c:xMode val="edge"/>
          <c:yMode val="edge"/>
          <c:x val="0.15380555555555558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745603674540686"/>
          <c:y val="0.20467592592592593"/>
          <c:w val="0.81643285214348194"/>
          <c:h val="0.57604913969087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'180 compare'!$H$7</c:f>
              <c:strCache>
                <c:ptCount val="1"/>
                <c:pt idx="0">
                  <c:v>Continual %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'180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'180 compare'!$H$8:$H$13</c:f>
              <c:numCache>
                <c:formatCode>0.00%</c:formatCode>
                <c:ptCount val="6"/>
                <c:pt idx="0">
                  <c:v>0.21100236690586308</c:v>
                </c:pt>
                <c:pt idx="1">
                  <c:v>0.20779948704572662</c:v>
                </c:pt>
                <c:pt idx="2">
                  <c:v>0.19831503727764013</c:v>
                </c:pt>
                <c:pt idx="3">
                  <c:v>0.19417061731469581</c:v>
                </c:pt>
                <c:pt idx="4">
                  <c:v>0.19232121961338322</c:v>
                </c:pt>
                <c:pt idx="5">
                  <c:v>0.19210484081396947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1-4522-A6B5-A04CA40D5A59}"/>
            </c:ext>
          </c:extLst>
        </c:ser>
        <c:ser>
          <c:idx val="1"/>
          <c:order val="1"/>
          <c:tx>
            <c:strRef>
              <c:f>'180 compare'!$I$7</c:f>
              <c:strCache>
                <c:ptCount val="1"/>
                <c:pt idx="0">
                  <c:v>Rotation %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'180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'180 compare'!$I$8:$I$13</c:f>
              <c:numCache>
                <c:formatCode>0.00%</c:formatCode>
                <c:ptCount val="6"/>
                <c:pt idx="0">
                  <c:v>0.57552359695050626</c:v>
                </c:pt>
                <c:pt idx="1">
                  <c:v>0.58223747568138062</c:v>
                </c:pt>
                <c:pt idx="2">
                  <c:v>0.60326120777521008</c:v>
                </c:pt>
                <c:pt idx="3">
                  <c:v>0.61193314146809763</c:v>
                </c:pt>
                <c:pt idx="4">
                  <c:v>0.61539130283379273</c:v>
                </c:pt>
                <c:pt idx="5">
                  <c:v>0.61608756774858642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1-4522-A6B5-A04CA40D5A59}"/>
            </c:ext>
          </c:extLst>
        </c:ser>
        <c:ser>
          <c:idx val="3"/>
          <c:order val="2"/>
          <c:tx>
            <c:strRef>
              <c:f>'180 compare'!$J$7</c:f>
              <c:strCache>
                <c:ptCount val="1"/>
                <c:pt idx="0">
                  <c:v>Burst %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9244485975196263E-3"/>
                  <c:y val="-4.23083400731790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F1-4522-A6B5-A04CA40D5A59}"/>
                </c:ext>
              </c:extLst>
            </c:dLbl>
            <c:dLbl>
              <c:idx val="1"/>
              <c:layout>
                <c:manualLayout>
                  <c:x val="5.8488971950392526E-3"/>
                  <c:y val="-4.7009266747976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F1-4522-A6B5-A04CA40D5A59}"/>
                </c:ext>
              </c:extLst>
            </c:dLbl>
            <c:dLbl>
              <c:idx val="2"/>
              <c:layout>
                <c:manualLayout>
                  <c:x val="5.8488971950393064E-3"/>
                  <c:y val="-4.70092667479766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F1-4522-A6B5-A04CA40D5A59}"/>
                </c:ext>
              </c:extLst>
            </c:dLbl>
            <c:dLbl>
              <c:idx val="3"/>
              <c:layout>
                <c:manualLayout>
                  <c:x val="5.8488971950393064E-3"/>
                  <c:y val="-5.64111200975719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F1-4522-A6B5-A04CA40D5A59}"/>
                </c:ext>
              </c:extLst>
            </c:dLbl>
            <c:dLbl>
              <c:idx val="4"/>
              <c:layout>
                <c:manualLayout>
                  <c:x val="5.8488971950391988E-3"/>
                  <c:y val="-5.17101934227743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4F1-4522-A6B5-A04CA40D5A59}"/>
                </c:ext>
              </c:extLst>
            </c:dLbl>
            <c:dLbl>
              <c:idx val="5"/>
              <c:layout>
                <c:manualLayout>
                  <c:x val="8.7733457925589595E-3"/>
                  <c:y val="-6.11120467723696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4F1-4522-A6B5-A04CA40D5A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'180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'180 compare'!$J$8:$J$13</c:f>
              <c:numCache>
                <c:formatCode>0.00%</c:formatCode>
                <c:ptCount val="6"/>
                <c:pt idx="0">
                  <c:v>0.21347403614363086</c:v>
                </c:pt>
                <c:pt idx="1">
                  <c:v>0.20996303727289284</c:v>
                </c:pt>
                <c:pt idx="2">
                  <c:v>0.19842375494714981</c:v>
                </c:pt>
                <c:pt idx="3">
                  <c:v>0.19389624121720656</c:v>
                </c:pt>
                <c:pt idx="4">
                  <c:v>0.19228747755282402</c:v>
                </c:pt>
                <c:pt idx="5">
                  <c:v>0.19180759143744405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F1-4522-A6B5-A04CA40D5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215567"/>
        <c:axId val="66218447"/>
      </c:barChart>
      <c:catAx>
        <c:axId val="6621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Different</a:t>
                </a:r>
                <a:r>
                  <a:rPr lang="en-US" altLang="zh-TW" baseline="0"/>
                  <a:t> hats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2650568678915129"/>
              <c:y val="0.84645778652668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18447"/>
        <c:crosses val="autoZero"/>
        <c:auto val="1"/>
        <c:lblAlgn val="ctr"/>
        <c:lblOffset val="100"/>
        <c:noMultiLvlLbl val="0"/>
      </c:catAx>
      <c:valAx>
        <c:axId val="662184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Damage(%)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1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22665126162374"/>
          <c:y val="0.90335580911924707"/>
          <c:w val="0.58725984218965921"/>
          <c:h val="7.7545622468308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Differences in damage under different hats</a:t>
            </a:r>
            <a:br>
              <a:rPr lang="en-US" altLang="zh-TW"/>
            </a:br>
            <a:r>
              <a:rPr lang="en-US" altLang="zh-TW"/>
              <a:t>(One</a:t>
            </a:r>
            <a:r>
              <a:rPr lang="en-US" altLang="zh-TW" baseline="0"/>
              <a:t> ER cycle)</a:t>
            </a:r>
            <a:endParaRPr lang="zh-TW" altLang="en-US"/>
          </a:p>
        </c:rich>
      </c:tx>
      <c:layout>
        <c:manualLayout>
          <c:xMode val="edge"/>
          <c:yMode val="edge"/>
          <c:x val="0.15380555555555558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745603674540686"/>
          <c:y val="0.20467592592592593"/>
          <c:w val="0.81643285214348194"/>
          <c:h val="0.57604913969087201"/>
        </c:manualLayout>
      </c:layout>
      <c:lineChart>
        <c:grouping val="standard"/>
        <c:varyColors val="0"/>
        <c:ser>
          <c:idx val="0"/>
          <c:order val="0"/>
          <c:tx>
            <c:strRef>
              <c:f>'one ER compare'!$B$7</c:f>
              <c:strCache>
                <c:ptCount val="1"/>
                <c:pt idx="0">
                  <c:v>Equip Adjust</c:v>
                </c:pt>
              </c:strCache>
            </c:strRef>
          </c:tx>
          <c:spPr>
            <a:ln w="1905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'one ER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'one ER compare'!$B$8:$B$13</c:f>
              <c:numCache>
                <c:formatCode>0.0%</c:formatCode>
                <c:ptCount val="6"/>
                <c:pt idx="0">
                  <c:v>1.0367404867096801</c:v>
                </c:pt>
                <c:pt idx="1">
                  <c:v>1.0267899382258081</c:v>
                </c:pt>
                <c:pt idx="2">
                  <c:v>1.0168393897419366</c:v>
                </c:pt>
                <c:pt idx="3">
                  <c:v>1.0068888412580648</c:v>
                </c:pt>
                <c:pt idx="4">
                  <c:v>1</c:v>
                </c:pt>
                <c:pt idx="5">
                  <c:v>0.9946420123548384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A-4CA5-B4B6-DD337769A7C4}"/>
            </c:ext>
          </c:extLst>
        </c:ser>
        <c:ser>
          <c:idx val="1"/>
          <c:order val="1"/>
          <c:tx>
            <c:strRef>
              <c:f>'one ER compare'!$C$7</c:f>
              <c:strCache>
                <c:ptCount val="1"/>
                <c:pt idx="0">
                  <c:v>DPS Diff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'one ER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'one ER compare'!$C$8:$C$13</c:f>
              <c:numCache>
                <c:formatCode>0.0%</c:formatCode>
                <c:ptCount val="6"/>
                <c:pt idx="0">
                  <c:v>1</c:v>
                </c:pt>
                <c:pt idx="1">
                  <c:v>1.027558440212927</c:v>
                </c:pt>
                <c:pt idx="2">
                  <c:v>1.0531590386789296</c:v>
                </c:pt>
                <c:pt idx="3">
                  <c:v>1.0678292195936334</c:v>
                </c:pt>
                <c:pt idx="4">
                  <c:v>1.0791392611016961</c:v>
                </c:pt>
                <c:pt idx="5">
                  <c:v>1.13919047398336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A-4CA5-B4B6-DD337769A7C4}"/>
            </c:ext>
          </c:extLst>
        </c:ser>
        <c:ser>
          <c:idx val="3"/>
          <c:order val="2"/>
          <c:tx>
            <c:strRef>
              <c:f>'one ER compare'!$D$7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rgbClr val="F15D5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15D5D"/>
              </a:solidFill>
              <a:ln w="9525">
                <a:solidFill>
                  <a:srgbClr val="F15D5D"/>
                </a:solidFill>
              </a:ln>
              <a:effectLst/>
            </c:spPr>
          </c:marker>
          <c:cat>
            <c:strRef>
              <c:f>'one ER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'one ER compare'!$D$8:$D$13</c:f>
              <c:numCache>
                <c:formatCode>0.00%</c:formatCode>
                <c:ptCount val="6"/>
                <c:pt idx="0">
                  <c:v>1.0367404867096801</c:v>
                </c:pt>
                <c:pt idx="1">
                  <c:v>1.0550866673496391</c:v>
                </c:pt>
                <c:pt idx="2">
                  <c:v>1.0708935941914872</c:v>
                </c:pt>
                <c:pt idx="3">
                  <c:v>1.0751853255781372</c:v>
                </c:pt>
                <c:pt idx="4">
                  <c:v>1.0791392611016961</c:v>
                </c:pt>
                <c:pt idx="5">
                  <c:v>1.1330867054982714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A-4CA5-B4B6-DD337769A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15567"/>
        <c:axId val="66218447"/>
      </c:lineChart>
      <c:catAx>
        <c:axId val="6621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Different</a:t>
                </a:r>
                <a:r>
                  <a:rPr lang="en-US" altLang="zh-TW" baseline="0"/>
                  <a:t> hats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2650568678915129"/>
              <c:y val="0.84645778652668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18447"/>
        <c:crosses val="autoZero"/>
        <c:auto val="1"/>
        <c:lblAlgn val="ctr"/>
        <c:lblOffset val="100"/>
        <c:noMultiLvlLbl val="0"/>
      </c:catAx>
      <c:valAx>
        <c:axId val="66218447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Damage Adjust(%)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1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6570428696413"/>
          <c:y val="0.90335593467483233"/>
          <c:w val="0.667211934476569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composition under different hats</a:t>
            </a:r>
            <a:br>
              <a:rPr lang="en-US"/>
            </a:br>
            <a:r>
              <a:rPr lang="en-US"/>
              <a:t>(One ER cycle)</a:t>
            </a:r>
            <a:endParaRPr lang="zh-TW"/>
          </a:p>
        </c:rich>
      </c:tx>
      <c:layout>
        <c:manualLayout>
          <c:xMode val="edge"/>
          <c:yMode val="edge"/>
          <c:x val="0.15380555555555558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745603674540686"/>
          <c:y val="0.20467592592592593"/>
          <c:w val="0.81643285214348194"/>
          <c:h val="0.57604913969087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'one ER compare'!$E$7</c:f>
              <c:strCache>
                <c:ptCount val="1"/>
                <c:pt idx="0">
                  <c:v>Continual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strRef>
              <c:f>'one ER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'one ER compare'!$E$8:$E$13</c:f>
              <c:numCache>
                <c:formatCode>0%</c:formatCode>
                <c:ptCount val="6"/>
                <c:pt idx="0">
                  <c:v>158.9049</c:v>
                </c:pt>
                <c:pt idx="1">
                  <c:v>159.0232</c:v>
                </c:pt>
                <c:pt idx="2">
                  <c:v>159.14429999999999</c:v>
                </c:pt>
                <c:pt idx="3">
                  <c:v>159.8391</c:v>
                </c:pt>
                <c:pt idx="4">
                  <c:v>160.64080000000001</c:v>
                </c:pt>
                <c:pt idx="5">
                  <c:v>161.45240000000001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2-4DCF-BAF8-7CB769E6E19E}"/>
            </c:ext>
          </c:extLst>
        </c:ser>
        <c:ser>
          <c:idx val="1"/>
          <c:order val="1"/>
          <c:tx>
            <c:strRef>
              <c:f>'one ER compare'!$F$7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'one ER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'one ER compare'!$F$8:$F$13</c:f>
              <c:numCache>
                <c:formatCode>0%</c:formatCode>
                <c:ptCount val="6"/>
                <c:pt idx="0">
                  <c:v>440.8612</c:v>
                </c:pt>
                <c:pt idx="1">
                  <c:v>460.03339999999997</c:v>
                </c:pt>
                <c:pt idx="2">
                  <c:v>477.60820000000001</c:v>
                </c:pt>
                <c:pt idx="3">
                  <c:v>486.68049999999999</c:v>
                </c:pt>
                <c:pt idx="4">
                  <c:v>492.72430000000003</c:v>
                </c:pt>
                <c:pt idx="5">
                  <c:v>537.24059999999997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2-4DCF-BAF8-7CB769E6E19E}"/>
            </c:ext>
          </c:extLst>
        </c:ser>
        <c:ser>
          <c:idx val="3"/>
          <c:order val="2"/>
          <c:tx>
            <c:strRef>
              <c:f>'one ER compare'!$G$7</c:f>
              <c:strCache>
                <c:ptCount val="1"/>
                <c:pt idx="0">
                  <c:v>Burst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'one ER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'one ER compare'!$G$8:$G$13</c:f>
              <c:numCache>
                <c:formatCode>0%</c:formatCode>
                <c:ptCount val="6"/>
                <c:pt idx="0">
                  <c:v>170.46979999999999</c:v>
                </c:pt>
                <c:pt idx="1">
                  <c:v>172.4058</c:v>
                </c:pt>
                <c:pt idx="2">
                  <c:v>174.42840000000001</c:v>
                </c:pt>
                <c:pt idx="3">
                  <c:v>175.96080000000001</c:v>
                </c:pt>
                <c:pt idx="4">
                  <c:v>177.82669999999999</c:v>
                </c:pt>
                <c:pt idx="5">
                  <c:v>178.75239999999999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E2-4DCF-BAF8-7CB769E6E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215567"/>
        <c:axId val="66218447"/>
      </c:barChart>
      <c:catAx>
        <c:axId val="6621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Different</a:t>
                </a:r>
                <a:r>
                  <a:rPr lang="en-US" altLang="zh-TW" baseline="0"/>
                  <a:t> hats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2650568678915129"/>
              <c:y val="0.84645778652668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18447"/>
        <c:crosses val="autoZero"/>
        <c:auto val="1"/>
        <c:lblAlgn val="ctr"/>
        <c:lblOffset val="100"/>
        <c:noMultiLvlLbl val="0"/>
      </c:catAx>
      <c:valAx>
        <c:axId val="662184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Damage(%)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1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82692839579753"/>
          <c:y val="0.9125463370861322"/>
          <c:w val="0.40656117865120123"/>
          <c:h val="7.9328692864770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Damage composition under different hats</a:t>
            </a:r>
            <a:br>
              <a:rPr lang="en-US" altLang="zh-TW"/>
            </a:br>
            <a:r>
              <a:rPr lang="en-US" altLang="zh-TW"/>
              <a:t>(One ER cycle</a:t>
            </a:r>
            <a:r>
              <a:rPr lang="en-US" altLang="zh-TW" baseline="0"/>
              <a:t>)</a:t>
            </a:r>
            <a:endParaRPr lang="zh-TW" altLang="en-US"/>
          </a:p>
        </c:rich>
      </c:tx>
      <c:layout>
        <c:manualLayout>
          <c:xMode val="edge"/>
          <c:yMode val="edge"/>
          <c:x val="0.15380555555555558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745603674540686"/>
          <c:y val="0.20467592592592593"/>
          <c:w val="0.81643285214348194"/>
          <c:h val="0.57604913969087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'one ER compare'!$H$7</c:f>
              <c:strCache>
                <c:ptCount val="1"/>
                <c:pt idx="0">
                  <c:v>Continual %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'one ER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'one ER compare'!$H$8:$H$13</c:f>
              <c:numCache>
                <c:formatCode>0.00%</c:formatCode>
                <c:ptCount val="6"/>
                <c:pt idx="0">
                  <c:v>0.20630679510004662</c:v>
                </c:pt>
                <c:pt idx="1">
                  <c:v>0.20092325295554153</c:v>
                </c:pt>
                <c:pt idx="2">
                  <c:v>0.19618842110311027</c:v>
                </c:pt>
                <c:pt idx="3">
                  <c:v>0.19433788331004606</c:v>
                </c:pt>
                <c:pt idx="4">
                  <c:v>0.19326562172533465</c:v>
                </c:pt>
                <c:pt idx="5">
                  <c:v>0.18400278809370932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9-4119-8C5A-D786A401276B}"/>
            </c:ext>
          </c:extLst>
        </c:ser>
        <c:ser>
          <c:idx val="1"/>
          <c:order val="1"/>
          <c:tx>
            <c:strRef>
              <c:f>'one ER compare'!$I$7</c:f>
              <c:strCache>
                <c:ptCount val="1"/>
                <c:pt idx="0">
                  <c:v>Rotation %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'one ER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'one ER compare'!$I$8:$I$13</c:f>
              <c:numCache>
                <c:formatCode>0.00%</c:formatCode>
                <c:ptCount val="6"/>
                <c:pt idx="0">
                  <c:v>0.57237165912417221</c:v>
                </c:pt>
                <c:pt idx="1">
                  <c:v>0.58124479444633126</c:v>
                </c:pt>
                <c:pt idx="2">
                  <c:v>0.58878136800311742</c:v>
                </c:pt>
                <c:pt idx="3">
                  <c:v>0.59172291522083698</c:v>
                </c:pt>
                <c:pt idx="4">
                  <c:v>0.59279254198609765</c:v>
                </c:pt>
                <c:pt idx="5">
                  <c:v>0.6122780973038322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9-4119-8C5A-D786A401276B}"/>
            </c:ext>
          </c:extLst>
        </c:ser>
        <c:ser>
          <c:idx val="3"/>
          <c:order val="2"/>
          <c:tx>
            <c:strRef>
              <c:f>'one ER compare'!$J$7</c:f>
              <c:strCache>
                <c:ptCount val="1"/>
                <c:pt idx="0">
                  <c:v>Burst %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9244485975196263E-3"/>
                  <c:y val="-4.23083400731790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29-4119-8C5A-D786A401276B}"/>
                </c:ext>
              </c:extLst>
            </c:dLbl>
            <c:dLbl>
              <c:idx val="1"/>
              <c:layout>
                <c:manualLayout>
                  <c:x val="5.8488971950392526E-3"/>
                  <c:y val="-4.7009266747976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29-4119-8C5A-D786A401276B}"/>
                </c:ext>
              </c:extLst>
            </c:dLbl>
            <c:dLbl>
              <c:idx val="2"/>
              <c:layout>
                <c:manualLayout>
                  <c:x val="5.8488971950393064E-3"/>
                  <c:y val="-4.70092667479766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29-4119-8C5A-D786A401276B}"/>
                </c:ext>
              </c:extLst>
            </c:dLbl>
            <c:dLbl>
              <c:idx val="3"/>
              <c:layout>
                <c:manualLayout>
                  <c:x val="5.8488971950393064E-3"/>
                  <c:y val="-5.64111200975719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29-4119-8C5A-D786A401276B}"/>
                </c:ext>
              </c:extLst>
            </c:dLbl>
            <c:dLbl>
              <c:idx val="4"/>
              <c:layout>
                <c:manualLayout>
                  <c:x val="5.8488971950391988E-3"/>
                  <c:y val="-5.17101934227743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429-4119-8C5A-D786A401276B}"/>
                </c:ext>
              </c:extLst>
            </c:dLbl>
            <c:dLbl>
              <c:idx val="5"/>
              <c:layout>
                <c:manualLayout>
                  <c:x val="8.7733457925589595E-3"/>
                  <c:y val="-6.11120467723696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29-4119-8C5A-D786A40127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'one ER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'one ER compare'!$J$8:$J$13</c:f>
              <c:numCache>
                <c:formatCode>0.00%</c:formatCode>
                <c:ptCount val="6"/>
                <c:pt idx="0">
                  <c:v>0.22132154577578114</c:v>
                </c:pt>
                <c:pt idx="1">
                  <c:v>0.21783195259812721</c:v>
                </c:pt>
                <c:pt idx="2">
                  <c:v>0.21503021089377228</c:v>
                </c:pt>
                <c:pt idx="3">
                  <c:v>0.2139392014691171</c:v>
                </c:pt>
                <c:pt idx="4">
                  <c:v>0.2139418362885678</c:v>
                </c:pt>
                <c:pt idx="5">
                  <c:v>0.20371911460245845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29-4119-8C5A-D786A401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215567"/>
        <c:axId val="66218447"/>
      </c:barChart>
      <c:catAx>
        <c:axId val="6621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Different</a:t>
                </a:r>
                <a:r>
                  <a:rPr lang="en-US" altLang="zh-TW" baseline="0"/>
                  <a:t> hats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2650568678915129"/>
              <c:y val="0.84645778652668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18447"/>
        <c:crosses val="autoZero"/>
        <c:auto val="1"/>
        <c:lblAlgn val="ctr"/>
        <c:lblOffset val="100"/>
        <c:noMultiLvlLbl val="0"/>
      </c:catAx>
      <c:valAx>
        <c:axId val="662184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Damage(%)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1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22665126162374"/>
          <c:y val="0.90335580911924707"/>
          <c:w val="0.58725984218965921"/>
          <c:h val="7.7545622468308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累計</a:t>
            </a:r>
            <a:r>
              <a:rPr lang="zh-TW"/>
              <a:t>傷害</a:t>
            </a:r>
            <a:r>
              <a:rPr lang="en-US"/>
              <a:t>%</a:t>
            </a:r>
            <a:r>
              <a:rPr lang="zh-TW"/>
              <a:t> </a:t>
            </a:r>
            <a:r>
              <a:rPr lang="en-US"/>
              <a:t>vs. </a:t>
            </a:r>
            <a:r>
              <a:rPr lang="zh-TW"/>
              <a:t>傷害時機</a:t>
            </a:r>
          </a:p>
        </c:rich>
      </c:tx>
      <c:layout>
        <c:manualLayout>
          <c:xMode val="edge"/>
          <c:yMode val="edge"/>
          <c:x val="0.38400325165285148"/>
          <c:y val="2.1965952773201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385861363705154"/>
          <c:y val="0.1508694856306059"/>
          <c:w val="0.82414248466058715"/>
          <c:h val="0.66795435578789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'技能% &amp; ONHIT間隔'!$B$12</c:f>
              <c:strCache>
                <c:ptCount val="1"/>
                <c:pt idx="0">
                  <c:v>風之捷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'技能% &amp; ONHIT間隔'!$C$12:$J$12</c:f>
              <c:numCache>
                <c:formatCode>General</c:formatCode>
                <c:ptCount val="8"/>
                <c:pt idx="0">
                  <c:v>0</c:v>
                </c:pt>
                <c:pt idx="1">
                  <c:v>510</c:v>
                </c:pt>
                <c:pt idx="2">
                  <c:v>1020</c:v>
                </c:pt>
                <c:pt idx="3">
                  <c:v>1530</c:v>
                </c:pt>
                <c:pt idx="4">
                  <c:v>2040</c:v>
                </c:pt>
                <c:pt idx="5">
                  <c:v>2550</c:v>
                </c:pt>
                <c:pt idx="6">
                  <c:v>3060</c:v>
                </c:pt>
                <c:pt idx="7">
                  <c:v>3570</c:v>
                </c:pt>
              </c:numCache>
              <c:extLst xmlns:c15="http://schemas.microsoft.com/office/drawing/2012/chart"/>
            </c:numRef>
          </c:xVal>
          <c:yVal>
            <c:numRef>
              <c:f>'技能% &amp; ONHIT間隔'!$C$40:$J$40</c:f>
              <c:numCache>
                <c:formatCode>0</c:formatCode>
                <c:ptCount val="8"/>
                <c:pt idx="0">
                  <c:v>3247.2000000000003</c:v>
                </c:pt>
                <c:pt idx="1">
                  <c:v>6494.4000000000005</c:v>
                </c:pt>
                <c:pt idx="2">
                  <c:v>9741.6</c:v>
                </c:pt>
                <c:pt idx="3">
                  <c:v>12988.800000000001</c:v>
                </c:pt>
                <c:pt idx="4">
                  <c:v>16236.000000000002</c:v>
                </c:pt>
                <c:pt idx="5">
                  <c:v>19483.2</c:v>
                </c:pt>
                <c:pt idx="6">
                  <c:v>22730.400000000001</c:v>
                </c:pt>
                <c:pt idx="7">
                  <c:v>25977.600000000002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F37-4BDF-B751-4ADC0F4AAF0A}"/>
            </c:ext>
          </c:extLst>
        </c:ser>
        <c:ser>
          <c:idx val="1"/>
          <c:order val="1"/>
          <c:tx>
            <c:strRef>
              <c:f>'技能% &amp; ONHIT間隔'!$B$13</c:f>
              <c:strCache>
                <c:ptCount val="1"/>
                <c:pt idx="0">
                  <c:v>閃雷之捷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'技能% &amp; ONHIT間隔'!$C$13:$J$13</c:f>
              <c:numCache>
                <c:formatCode>General</c:formatCode>
                <c:ptCount val="8"/>
                <c:pt idx="0">
                  <c:v>480</c:v>
                </c:pt>
                <c:pt idx="1">
                  <c:v>840</c:v>
                </c:pt>
                <c:pt idx="2">
                  <c:v>1200</c:v>
                </c:pt>
                <c:pt idx="3">
                  <c:v>1560</c:v>
                </c:pt>
                <c:pt idx="4">
                  <c:v>1920</c:v>
                </c:pt>
              </c:numCache>
            </c:numRef>
          </c:xVal>
          <c:yVal>
            <c:numRef>
              <c:f>'技能% &amp; ONHIT間隔'!$C$41:$J$41</c:f>
              <c:numCache>
                <c:formatCode>0</c:formatCode>
                <c:ptCount val="8"/>
                <c:pt idx="0">
                  <c:v>28600.000000000004</c:v>
                </c:pt>
                <c:pt idx="1">
                  <c:v>40040.000000000007</c:v>
                </c:pt>
                <c:pt idx="2">
                  <c:v>44616.000000000007</c:v>
                </c:pt>
                <c:pt idx="3">
                  <c:v>46446.400000000009</c:v>
                </c:pt>
                <c:pt idx="4">
                  <c:v>47178.560000000012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7-4BDF-B751-4ADC0F4AAF0A}"/>
            </c:ext>
          </c:extLst>
        </c:ser>
        <c:ser>
          <c:idx val="2"/>
          <c:order val="2"/>
          <c:tx>
            <c:strRef>
              <c:f>'技能% &amp; ONHIT間隔'!$B$14</c:f>
              <c:strCache>
                <c:ptCount val="1"/>
                <c:pt idx="0">
                  <c:v>閃雷之躍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'技能% &amp; ONHIT間隔'!$C$14:$J$14</c:f>
              <c:numCache>
                <c:formatCode>General</c:formatCode>
                <c:ptCount val="8"/>
                <c:pt idx="0">
                  <c:v>0</c:v>
                </c:pt>
                <c:pt idx="1">
                  <c:v>700</c:v>
                </c:pt>
                <c:pt idx="2">
                  <c:v>1400</c:v>
                </c:pt>
                <c:pt idx="3">
                  <c:v>2100</c:v>
                </c:pt>
                <c:pt idx="4">
                  <c:v>2800</c:v>
                </c:pt>
                <c:pt idx="5">
                  <c:v>3500</c:v>
                </c:pt>
              </c:numCache>
              <c:extLst xmlns:c15="http://schemas.microsoft.com/office/drawing/2012/chart"/>
            </c:numRef>
          </c:xVal>
          <c:yVal>
            <c:numRef>
              <c:f>'技能% &amp; ONHIT間隔'!$C$42:$J$42</c:f>
              <c:numCache>
                <c:formatCode>0</c:formatCode>
                <c:ptCount val="8"/>
                <c:pt idx="0">
                  <c:v>3044.8</c:v>
                </c:pt>
                <c:pt idx="1">
                  <c:v>6089.6</c:v>
                </c:pt>
                <c:pt idx="2">
                  <c:v>9134.4000000000015</c:v>
                </c:pt>
                <c:pt idx="3">
                  <c:v>12179.2</c:v>
                </c:pt>
                <c:pt idx="4">
                  <c:v>15224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F37-4BDF-B751-4ADC0F4AAF0A}"/>
            </c:ext>
          </c:extLst>
        </c:ser>
        <c:ser>
          <c:idx val="3"/>
          <c:order val="3"/>
          <c:tx>
            <c:strRef>
              <c:f>'技能% &amp; ONHIT間隔'!$B$15</c:f>
              <c:strCache>
                <c:ptCount val="1"/>
                <c:pt idx="0">
                  <c:v>塵土之躍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'技能% &amp; ONHIT間隔'!$C$15:$J$15</c:f>
              <c:numCache>
                <c:formatCode>General</c:formatCode>
                <c:ptCount val="8"/>
                <c:pt idx="0">
                  <c:v>0</c:v>
                </c:pt>
                <c:pt idx="1">
                  <c:v>960</c:v>
                </c:pt>
                <c:pt idx="2">
                  <c:v>1440</c:v>
                </c:pt>
                <c:pt idx="3">
                  <c:v>1920</c:v>
                </c:pt>
              </c:numCache>
            </c:numRef>
          </c:xVal>
          <c:yVal>
            <c:numRef>
              <c:f>'技能% &amp; ONHIT間隔'!$C$43:$J$43</c:f>
              <c:numCache>
                <c:formatCode>0</c:formatCode>
                <c:ptCount val="8"/>
                <c:pt idx="0">
                  <c:v>22000</c:v>
                </c:pt>
                <c:pt idx="1">
                  <c:v>33000</c:v>
                </c:pt>
                <c:pt idx="2">
                  <c:v>38500</c:v>
                </c:pt>
                <c:pt idx="3">
                  <c:v>41250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37-4BDF-B751-4ADC0F4AAF0A}"/>
            </c:ext>
          </c:extLst>
        </c:ser>
        <c:ser>
          <c:idx val="4"/>
          <c:order val="4"/>
          <c:tx>
            <c:strRef>
              <c:f>'技能% &amp; ONHIT間隔'!$B$16</c:f>
              <c:strCache>
                <c:ptCount val="1"/>
                <c:pt idx="0">
                  <c:v>風之氣息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'技能% &amp; ONHIT間隔'!$C$16:$J$16</c:f>
              <c:numCache>
                <c:formatCode>General</c:formatCode>
                <c:ptCount val="8"/>
                <c:pt idx="0">
                  <c:v>0</c:v>
                </c:pt>
                <c:pt idx="1">
                  <c:v>360</c:v>
                </c:pt>
                <c:pt idx="2">
                  <c:v>720</c:v>
                </c:pt>
                <c:pt idx="3">
                  <c:v>1080</c:v>
                </c:pt>
                <c:pt idx="4">
                  <c:v>1440</c:v>
                </c:pt>
                <c:pt idx="5">
                  <c:v>1800</c:v>
                </c:pt>
                <c:pt idx="6">
                  <c:v>2160</c:v>
                </c:pt>
                <c:pt idx="7">
                  <c:v>2520</c:v>
                </c:pt>
              </c:numCache>
            </c:numRef>
          </c:xVal>
          <c:yVal>
            <c:numRef>
              <c:f>'技能% &amp; ONHIT間隔'!$C$44:$J$44</c:f>
              <c:numCache>
                <c:formatCode>0</c:formatCode>
                <c:ptCount val="8"/>
                <c:pt idx="0">
                  <c:v>4844.4000000000005</c:v>
                </c:pt>
                <c:pt idx="1">
                  <c:v>9688.8000000000011</c:v>
                </c:pt>
                <c:pt idx="2">
                  <c:v>14533.2</c:v>
                </c:pt>
                <c:pt idx="3">
                  <c:v>19377.600000000002</c:v>
                </c:pt>
                <c:pt idx="4">
                  <c:v>24222.000000000004</c:v>
                </c:pt>
                <c:pt idx="5">
                  <c:v>29066.400000000005</c:v>
                </c:pt>
                <c:pt idx="6">
                  <c:v>33910.800000000003</c:v>
                </c:pt>
                <c:pt idx="7">
                  <c:v>38755.200000000004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37-4BDF-B751-4ADC0F4AAF0A}"/>
            </c:ext>
          </c:extLst>
        </c:ser>
        <c:ser>
          <c:idx val="5"/>
          <c:order val="5"/>
          <c:tx>
            <c:strRef>
              <c:f>'技能% &amp; ONHIT間隔'!$B$17</c:f>
              <c:strCache>
                <c:ptCount val="1"/>
                <c:pt idx="0">
                  <c:v>大地氣息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'技能% &amp; ONHIT間隔'!$C$17:$J$17</c:f>
              <c:numCache>
                <c:formatCode>General</c:formatCode>
                <c:ptCount val="8"/>
                <c:pt idx="0">
                  <c:v>450</c:v>
                </c:pt>
                <c:pt idx="1">
                  <c:v>900</c:v>
                </c:pt>
                <c:pt idx="2">
                  <c:v>1350</c:v>
                </c:pt>
                <c:pt idx="3">
                  <c:v>1800</c:v>
                </c:pt>
                <c:pt idx="4">
                  <c:v>2250</c:v>
                </c:pt>
                <c:pt idx="5">
                  <c:v>2700</c:v>
                </c:pt>
                <c:pt idx="6">
                  <c:v>3150</c:v>
                </c:pt>
              </c:numCache>
            </c:numRef>
          </c:xVal>
          <c:yVal>
            <c:numRef>
              <c:f>'技能% &amp; ONHIT間隔'!$C$45:$J$45</c:f>
              <c:numCache>
                <c:formatCode>0</c:formatCode>
                <c:ptCount val="8"/>
                <c:pt idx="0">
                  <c:v>3709.2000000000003</c:v>
                </c:pt>
                <c:pt idx="1">
                  <c:v>7418.4000000000005</c:v>
                </c:pt>
                <c:pt idx="2">
                  <c:v>11127.6</c:v>
                </c:pt>
                <c:pt idx="3">
                  <c:v>14836.800000000001</c:v>
                </c:pt>
                <c:pt idx="4">
                  <c:v>18546</c:v>
                </c:pt>
                <c:pt idx="5">
                  <c:v>22255.200000000001</c:v>
                </c:pt>
                <c:pt idx="6">
                  <c:v>25964.400000000001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37-4BDF-B751-4ADC0F4AAF0A}"/>
            </c:ext>
          </c:extLst>
        </c:ser>
        <c:ser>
          <c:idx val="6"/>
          <c:order val="6"/>
          <c:tx>
            <c:strRef>
              <c:f>'技能% &amp; ONHIT間隔'!$B$18</c:f>
              <c:strCache>
                <c:ptCount val="1"/>
                <c:pt idx="0">
                  <c:v>聖龍突襲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'技能% &amp; ONHIT間隔'!$C$18:$J$18</c:f>
              <c:numCache>
                <c:formatCode>General</c:formatCode>
                <c:ptCount val="8"/>
                <c:pt idx="0">
                  <c:v>80</c:v>
                </c:pt>
                <c:pt idx="1">
                  <c:v>200</c:v>
                </c:pt>
                <c:pt idx="2">
                  <c:v>500</c:v>
                </c:pt>
                <c:pt idx="3">
                  <c:v>800</c:v>
                </c:pt>
                <c:pt idx="4">
                  <c:v>1280</c:v>
                </c:pt>
                <c:pt idx="5">
                  <c:v>1680</c:v>
                </c:pt>
              </c:numCache>
            </c:numRef>
          </c:xVal>
          <c:yVal>
            <c:numRef>
              <c:f>'技能% &amp; ONHIT間隔'!$C$46:$J$46</c:f>
              <c:numCache>
                <c:formatCode>0</c:formatCode>
                <c:ptCount val="8"/>
                <c:pt idx="0">
                  <c:v>14168</c:v>
                </c:pt>
                <c:pt idx="1">
                  <c:v>28336</c:v>
                </c:pt>
                <c:pt idx="2">
                  <c:v>42504</c:v>
                </c:pt>
                <c:pt idx="3">
                  <c:v>56672</c:v>
                </c:pt>
                <c:pt idx="4">
                  <c:v>70840</c:v>
                </c:pt>
                <c:pt idx="5">
                  <c:v>85008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37-4BDF-B751-4ADC0F4AAF0A}"/>
            </c:ext>
          </c:extLst>
        </c:ser>
        <c:ser>
          <c:idx val="7"/>
          <c:order val="7"/>
          <c:tx>
            <c:strRef>
              <c:f>基礎!$A$28</c:f>
              <c:strCache>
                <c:ptCount val="1"/>
                <c:pt idx="0">
                  <c:v>Elemental Barrage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'技能% &amp; ONHIT間隔'!$C$21:$F$21</c:f>
              <c:numCache>
                <c:formatCode>General</c:formatCode>
                <c:ptCount val="4"/>
                <c:pt idx="0">
                  <c:v>660</c:v>
                </c:pt>
                <c:pt idx="1">
                  <c:v>1890</c:v>
                </c:pt>
                <c:pt idx="2">
                  <c:v>2450</c:v>
                </c:pt>
                <c:pt idx="3">
                  <c:v>3300</c:v>
                </c:pt>
              </c:numCache>
            </c:numRef>
          </c:xVal>
          <c:yVal>
            <c:numRef>
              <c:f>'技能% &amp; ONHIT間隔'!$C$47:$F$47</c:f>
              <c:numCache>
                <c:formatCode>0</c:formatCode>
                <c:ptCount val="4"/>
                <c:pt idx="0">
                  <c:v>21824</c:v>
                </c:pt>
                <c:pt idx="1">
                  <c:v>43648</c:v>
                </c:pt>
                <c:pt idx="2">
                  <c:v>65472</c:v>
                </c:pt>
                <c:pt idx="3">
                  <c:v>87296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0-414A-9349-29D7148789C7}"/>
            </c:ext>
          </c:extLst>
        </c:ser>
        <c:ser>
          <c:idx val="8"/>
          <c:order val="8"/>
          <c:tx>
            <c:strRef>
              <c:f>基礎!$A$29</c:f>
              <c:strCache>
                <c:ptCount val="1"/>
                <c:pt idx="0">
                  <c:v>Wyrmking's Breath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'技能% &amp; ONHIT間隔'!$C$20:$R$20</c:f>
              <c:numCache>
                <c:formatCode>General</c:formatCode>
                <c:ptCount val="16"/>
                <c:pt idx="0">
                  <c:v>1200</c:v>
                </c:pt>
                <c:pt idx="1">
                  <c:v>1440</c:v>
                </c:pt>
                <c:pt idx="2">
                  <c:v>1680</c:v>
                </c:pt>
                <c:pt idx="3">
                  <c:v>1920</c:v>
                </c:pt>
                <c:pt idx="4">
                  <c:v>2160</c:v>
                </c:pt>
                <c:pt idx="5">
                  <c:v>2400</c:v>
                </c:pt>
                <c:pt idx="6">
                  <c:v>2640</c:v>
                </c:pt>
                <c:pt idx="7">
                  <c:v>2880</c:v>
                </c:pt>
                <c:pt idx="8">
                  <c:v>3120</c:v>
                </c:pt>
                <c:pt idx="9">
                  <c:v>3360</c:v>
                </c:pt>
                <c:pt idx="10">
                  <c:v>3600</c:v>
                </c:pt>
                <c:pt idx="11">
                  <c:v>3840</c:v>
                </c:pt>
                <c:pt idx="12">
                  <c:v>4080</c:v>
                </c:pt>
                <c:pt idx="13">
                  <c:v>4320</c:v>
                </c:pt>
                <c:pt idx="14">
                  <c:v>4560</c:v>
                </c:pt>
                <c:pt idx="15">
                  <c:v>4800</c:v>
                </c:pt>
              </c:numCache>
            </c:numRef>
          </c:xVal>
          <c:yVal>
            <c:numRef>
              <c:f>'技能% &amp; ONHIT間隔'!$C$48:$R$48</c:f>
              <c:numCache>
                <c:formatCode>0</c:formatCode>
                <c:ptCount val="16"/>
                <c:pt idx="0">
                  <c:v>14784</c:v>
                </c:pt>
                <c:pt idx="1">
                  <c:v>29568</c:v>
                </c:pt>
                <c:pt idx="2">
                  <c:v>44352</c:v>
                </c:pt>
                <c:pt idx="3">
                  <c:v>59136</c:v>
                </c:pt>
                <c:pt idx="4">
                  <c:v>73920</c:v>
                </c:pt>
                <c:pt idx="5">
                  <c:v>88704</c:v>
                </c:pt>
                <c:pt idx="6">
                  <c:v>103488</c:v>
                </c:pt>
                <c:pt idx="7">
                  <c:v>118272</c:v>
                </c:pt>
                <c:pt idx="8">
                  <c:v>133056</c:v>
                </c:pt>
                <c:pt idx="9">
                  <c:v>147840</c:v>
                </c:pt>
                <c:pt idx="10">
                  <c:v>162624</c:v>
                </c:pt>
                <c:pt idx="11">
                  <c:v>177408</c:v>
                </c:pt>
                <c:pt idx="12">
                  <c:v>192192</c:v>
                </c:pt>
                <c:pt idx="13">
                  <c:v>206976</c:v>
                </c:pt>
                <c:pt idx="14">
                  <c:v>221760</c:v>
                </c:pt>
                <c:pt idx="15">
                  <c:v>236544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0-414A-9349-29D714878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966512"/>
        <c:axId val="790971792"/>
        <c:extLst/>
      </c:scatterChart>
      <c:valAx>
        <c:axId val="79096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時間</a:t>
                </a:r>
                <a:r>
                  <a:rPr lang="en-US"/>
                  <a:t>(ms)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0.47783540237042033"/>
              <c:y val="0.87446457990115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0971792"/>
        <c:crosses val="autoZero"/>
        <c:crossBetween val="midCat"/>
      </c:valAx>
      <c:valAx>
        <c:axId val="7909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傷害</a:t>
                </a:r>
                <a:r>
                  <a:rPr lang="en-US"/>
                  <a:t>%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096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7457440966501922E-3"/>
          <c:y val="0.92665966177621539"/>
          <c:w val="0.99725426171204312"/>
          <c:h val="7.3340338223784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200" b="1">
                <a:latin typeface="微軟正黑體" panose="020B0604030504040204" pitchFamily="34" charset="-120"/>
                <a:ea typeface="微軟正黑體" panose="020B0604030504040204" pitchFamily="34" charset="-120"/>
              </a:rPr>
              <a:t>累計</a:t>
            </a:r>
            <a:r>
              <a:rPr lang="zh-TW" sz="1200" b="1">
                <a:latin typeface="微軟正黑體" panose="020B0604030504040204" pitchFamily="34" charset="-120"/>
                <a:ea typeface="微軟正黑體" panose="020B0604030504040204" pitchFamily="34" charset="-120"/>
              </a:rPr>
              <a:t>傷害</a:t>
            </a:r>
            <a:r>
              <a:rPr lang="en-US" sz="1200" b="1">
                <a:latin typeface="微軟正黑體" panose="020B0604030504040204" pitchFamily="34" charset="-120"/>
                <a:ea typeface="微軟正黑體" panose="020B0604030504040204" pitchFamily="34" charset="-120"/>
              </a:rPr>
              <a:t>%</a:t>
            </a:r>
            <a:r>
              <a:rPr lang="zh-TW" sz="1200" b="1">
                <a:latin typeface="微軟正黑體" panose="020B0604030504040204" pitchFamily="34" charset="-120"/>
                <a:ea typeface="微軟正黑體" panose="020B0604030504040204" pitchFamily="34" charset="-120"/>
              </a:rPr>
              <a:t> </a:t>
            </a:r>
            <a:r>
              <a:rPr lang="en-US" sz="1200" b="1">
                <a:latin typeface="微軟正黑體" panose="020B0604030504040204" pitchFamily="34" charset="-120"/>
                <a:ea typeface="微軟正黑體" panose="020B0604030504040204" pitchFamily="34" charset="-120"/>
              </a:rPr>
              <a:t>vs. </a:t>
            </a:r>
            <a:r>
              <a:rPr lang="zh-TW" altLang="en-US" sz="1200" b="1">
                <a:latin typeface="微軟正黑體" panose="020B0604030504040204" pitchFamily="34" charset="-120"/>
                <a:ea typeface="微軟正黑體" panose="020B0604030504040204" pitchFamily="34" charset="-120"/>
              </a:rPr>
              <a:t>秒數</a:t>
            </a:r>
            <a:endParaRPr lang="en-US" altLang="zh-TW" sz="1200" b="1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  <a:p>
            <a:pPr>
              <a:defRPr/>
            </a:pPr>
            <a:r>
              <a:rPr lang="en-US" altLang="zh-TW" sz="1200" b="1">
                <a:latin typeface="微軟正黑體" panose="020B0604030504040204" pitchFamily="34" charset="-120"/>
                <a:ea typeface="微軟正黑體" panose="020B0604030504040204" pitchFamily="34" charset="-120"/>
              </a:rPr>
              <a:t>(-4</a:t>
            </a:r>
            <a:r>
              <a:rPr lang="zh-TW" altLang="en-US" sz="1200" b="1">
                <a:latin typeface="微軟正黑體" panose="020B0604030504040204" pitchFamily="34" charset="-120"/>
                <a:ea typeface="微軟正黑體" panose="020B0604030504040204" pitchFamily="34" charset="-120"/>
              </a:rPr>
              <a:t>修正</a:t>
            </a:r>
            <a:r>
              <a:rPr lang="en-US" altLang="zh-TW" sz="1200" b="1">
                <a:latin typeface="微軟正黑體" panose="020B0604030504040204" pitchFamily="34" charset="-120"/>
                <a:ea typeface="微軟正黑體" panose="020B0604030504040204" pitchFamily="34" charset="-120"/>
              </a:rPr>
              <a:t>2.4%</a:t>
            </a:r>
            <a:r>
              <a:rPr lang="zh-TW" altLang="en-US" sz="1200" b="1">
                <a:latin typeface="微軟正黑體" panose="020B0604030504040204" pitchFamily="34" charset="-120"/>
                <a:ea typeface="微軟正黑體" panose="020B0604030504040204" pitchFamily="34" charset="-120"/>
              </a:rPr>
              <a:t> 屬帽修正</a:t>
            </a:r>
            <a:r>
              <a:rPr lang="en-US" altLang="zh-TW" sz="1200" b="1">
                <a:latin typeface="微軟正黑體" panose="020B0604030504040204" pitchFamily="34" charset="-120"/>
                <a:ea typeface="微軟正黑體" panose="020B0604030504040204" pitchFamily="34" charset="-120"/>
              </a:rPr>
              <a:t>4.5%)</a:t>
            </a:r>
            <a:endParaRPr lang="zh-TW" sz="1200" b="1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layout>
        <c:manualLayout>
          <c:xMode val="edge"/>
          <c:yMode val="edge"/>
          <c:x val="0.33567815555180802"/>
          <c:y val="1.8304960644334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385861363705154"/>
          <c:y val="0.17283543840380744"/>
          <c:w val="0.82414248466058715"/>
          <c:h val="0.64598840301469729"/>
        </c:manualLayout>
      </c:layout>
      <c:scatterChart>
        <c:scatterStyle val="lineMarker"/>
        <c:varyColors val="0"/>
        <c:ser>
          <c:idx val="0"/>
          <c:order val="0"/>
          <c:tx>
            <c:v>-7 (匹配聖龍突襲)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'CD 與傷害軸計算'!$Q$34:$Q$34</c:f>
              <c:numCache>
                <c:formatCode>General</c:formatCode>
                <c:ptCount val="1"/>
              </c:numCache>
            </c:numRef>
          </c:xVal>
          <c:yVal>
            <c:numRef>
              <c:f>'CD 與傷害軸計算'!$B$38:$Q$38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90-4FC7-ABD6-9FAB432C9148}"/>
            </c:ext>
          </c:extLst>
        </c:ser>
        <c:ser>
          <c:idx val="1"/>
          <c:order val="1"/>
          <c:tx>
            <c:v>-7(匹配元素滅殺破)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'CD 與傷害軸計算'!$B$40:$S$40</c:f>
              <c:numCache>
                <c:formatCode>General</c:formatCode>
                <c:ptCount val="18"/>
              </c:numCache>
            </c:numRef>
          </c:xVal>
          <c:yVal>
            <c:numRef>
              <c:f>'CD 與傷害軸計算'!$B$43:$S$43</c:f>
              <c:numCache>
                <c:formatCode>General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90-4FC7-ABD6-9FAB432C9148}"/>
            </c:ext>
          </c:extLst>
        </c:ser>
        <c:ser>
          <c:idx val="2"/>
          <c:order val="2"/>
          <c:tx>
            <c:v>-4(匹配聖龍突襲)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'CD 與傷害軸計算'!$B$48:$N$48</c:f>
              <c:numCache>
                <c:formatCode>General</c:formatCode>
                <c:ptCount val="13"/>
              </c:numCache>
            </c:numRef>
          </c:xVal>
          <c:yVal>
            <c:numRef>
              <c:f>'CD 與傷害軸計算'!$B$53:$N$53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90-4FC7-ABD6-9FAB432C9148}"/>
            </c:ext>
          </c:extLst>
        </c:ser>
        <c:ser>
          <c:idx val="3"/>
          <c:order val="3"/>
          <c:tx>
            <c:v>-4(匹配元素滅殺破)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'CD 與傷害軸計算'!$B$55:$S$55</c:f>
              <c:numCache>
                <c:formatCode>General</c:formatCode>
                <c:ptCount val="18"/>
              </c:numCache>
            </c:numRef>
          </c:xVal>
          <c:yVal>
            <c:numRef>
              <c:f>'CD 與傷害軸計算'!$B$59:$S$59</c:f>
              <c:numCache>
                <c:formatCode>General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90-4FC7-ABD6-9FAB432C9148}"/>
            </c:ext>
          </c:extLst>
        </c:ser>
        <c:ser>
          <c:idx val="4"/>
          <c:order val="4"/>
          <c:tx>
            <c:v>屬帽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'CD 與傷害軸計算'!$B$64:$K$64</c:f>
              <c:numCache>
                <c:formatCode>General</c:formatCode>
                <c:ptCount val="10"/>
              </c:numCache>
            </c:numRef>
          </c:xVal>
          <c:yVal>
            <c:numRef>
              <c:f>'CD 與傷害軸計算'!$B$69:$K$69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F90-4FC7-ABD6-9FAB432C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966512"/>
        <c:axId val="790971792"/>
        <c:extLst/>
      </c:scatterChart>
      <c:valAx>
        <c:axId val="790966512"/>
        <c:scaling>
          <c:orientation val="minMax"/>
          <c:max val="2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時間</a:t>
                </a:r>
                <a:r>
                  <a:rPr lang="en-US"/>
                  <a:t>(s)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0.47783540237042033"/>
              <c:y val="0.87446457990115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0971792"/>
        <c:crosses val="autoZero"/>
        <c:crossBetween val="midCat"/>
        <c:majorUnit val="30"/>
      </c:valAx>
      <c:valAx>
        <c:axId val="7909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總</a:t>
                </a:r>
                <a:r>
                  <a:rPr lang="zh-TW"/>
                  <a:t>傷害</a:t>
                </a:r>
                <a:r>
                  <a:rPr lang="en-US"/>
                  <a:t>%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096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7457440966501922E-3"/>
          <c:y val="0.93764263816281612"/>
          <c:w val="0.99725425590334982"/>
          <c:h val="6.2357361837183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FD between different CD hats 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114838638127981"/>
          <c:y val="0.13329046087888533"/>
          <c:w val="0.73801818786736162"/>
          <c:h val="0.6763416630798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'EB FD'!$K$3</c:f>
              <c:strCache>
                <c:ptCount val="1"/>
                <c:pt idx="0">
                  <c:v>-7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'EB FD'!$K$6:$K$40</c:f>
              <c:numCache>
                <c:formatCode>General</c:formatCode>
                <c:ptCount val="35"/>
                <c:pt idx="0">
                  <c:v>0</c:v>
                </c:pt>
                <c:pt idx="1">
                  <c:v>660</c:v>
                </c:pt>
                <c:pt idx="2">
                  <c:v>1890</c:v>
                </c:pt>
                <c:pt idx="3">
                  <c:v>2450</c:v>
                </c:pt>
                <c:pt idx="4">
                  <c:v>3300</c:v>
                </c:pt>
                <c:pt idx="5">
                  <c:v>13300</c:v>
                </c:pt>
                <c:pt idx="6">
                  <c:v>13301</c:v>
                </c:pt>
                <c:pt idx="7">
                  <c:v>30600</c:v>
                </c:pt>
                <c:pt idx="8">
                  <c:v>31260</c:v>
                </c:pt>
                <c:pt idx="9">
                  <c:v>32490</c:v>
                </c:pt>
                <c:pt idx="10">
                  <c:v>33050</c:v>
                </c:pt>
                <c:pt idx="11">
                  <c:v>33900</c:v>
                </c:pt>
                <c:pt idx="12">
                  <c:v>43900</c:v>
                </c:pt>
                <c:pt idx="13">
                  <c:v>43901</c:v>
                </c:pt>
                <c:pt idx="14">
                  <c:v>61200</c:v>
                </c:pt>
                <c:pt idx="15">
                  <c:v>61860</c:v>
                </c:pt>
                <c:pt idx="16">
                  <c:v>63090</c:v>
                </c:pt>
                <c:pt idx="17">
                  <c:v>63650</c:v>
                </c:pt>
                <c:pt idx="18">
                  <c:v>64500</c:v>
                </c:pt>
                <c:pt idx="19">
                  <c:v>74500</c:v>
                </c:pt>
                <c:pt idx="20">
                  <c:v>74501</c:v>
                </c:pt>
                <c:pt idx="21">
                  <c:v>91800.000000000015</c:v>
                </c:pt>
                <c:pt idx="22">
                  <c:v>92460.000000000015</c:v>
                </c:pt>
                <c:pt idx="23">
                  <c:v>93690.000000000015</c:v>
                </c:pt>
                <c:pt idx="24">
                  <c:v>94250.000000000015</c:v>
                </c:pt>
                <c:pt idx="25">
                  <c:v>95100.000000000015</c:v>
                </c:pt>
                <c:pt idx="26">
                  <c:v>105100.00000000001</c:v>
                </c:pt>
                <c:pt idx="27">
                  <c:v>105101.00000000001</c:v>
                </c:pt>
                <c:pt idx="28">
                  <c:v>122400</c:v>
                </c:pt>
                <c:pt idx="29">
                  <c:v>123060</c:v>
                </c:pt>
                <c:pt idx="30">
                  <c:v>124290</c:v>
                </c:pt>
                <c:pt idx="31">
                  <c:v>124850</c:v>
                </c:pt>
                <c:pt idx="32">
                  <c:v>125700</c:v>
                </c:pt>
                <c:pt idx="33">
                  <c:v>135700</c:v>
                </c:pt>
                <c:pt idx="34">
                  <c:v>135701</c:v>
                </c:pt>
              </c:numCache>
            </c:numRef>
          </c:xVal>
          <c:yVal>
            <c:numRef>
              <c:f>'EB FD'!$L$6:$L$40</c:f>
              <c:numCache>
                <c:formatCode>0%</c:formatCode>
                <c:ptCount val="3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0.1</c:v>
                </c:pt>
                <c:pt idx="10">
                  <c:v>0.15</c:v>
                </c:pt>
                <c:pt idx="11">
                  <c:v>0.2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0.05</c:v>
                </c:pt>
                <c:pt idx="16">
                  <c:v>0.1</c:v>
                </c:pt>
                <c:pt idx="17">
                  <c:v>0.15</c:v>
                </c:pt>
                <c:pt idx="18">
                  <c:v>0.2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0.05</c:v>
                </c:pt>
                <c:pt idx="23">
                  <c:v>0.1</c:v>
                </c:pt>
                <c:pt idx="24">
                  <c:v>0.15</c:v>
                </c:pt>
                <c:pt idx="25">
                  <c:v>0.2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0.05</c:v>
                </c:pt>
                <c:pt idx="30">
                  <c:v>0.1</c:v>
                </c:pt>
                <c:pt idx="31">
                  <c:v>0.15</c:v>
                </c:pt>
                <c:pt idx="32">
                  <c:v>0.2</c:v>
                </c:pt>
                <c:pt idx="33">
                  <c:v>0.2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F-48A7-8F58-0204F47C745F}"/>
            </c:ext>
          </c:extLst>
        </c:ser>
        <c:ser>
          <c:idx val="1"/>
          <c:order val="1"/>
          <c:tx>
            <c:strRef>
              <c:f>'EB FD'!$M$3</c:f>
              <c:strCache>
                <c:ptCount val="1"/>
                <c:pt idx="0">
                  <c:v>-4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'EB FD'!$M$6:$M$40</c:f>
              <c:numCache>
                <c:formatCode>General</c:formatCode>
                <c:ptCount val="35"/>
                <c:pt idx="0">
                  <c:v>0</c:v>
                </c:pt>
                <c:pt idx="1">
                  <c:v>660</c:v>
                </c:pt>
                <c:pt idx="2">
                  <c:v>1890</c:v>
                </c:pt>
                <c:pt idx="3">
                  <c:v>2450</c:v>
                </c:pt>
                <c:pt idx="4">
                  <c:v>3300</c:v>
                </c:pt>
                <c:pt idx="5">
                  <c:v>13300</c:v>
                </c:pt>
                <c:pt idx="6">
                  <c:v>13301</c:v>
                </c:pt>
                <c:pt idx="7">
                  <c:v>33600</c:v>
                </c:pt>
                <c:pt idx="8">
                  <c:v>34260</c:v>
                </c:pt>
                <c:pt idx="9">
                  <c:v>35490</c:v>
                </c:pt>
                <c:pt idx="10">
                  <c:v>36050</c:v>
                </c:pt>
                <c:pt idx="11">
                  <c:v>36900</c:v>
                </c:pt>
                <c:pt idx="12">
                  <c:v>46900</c:v>
                </c:pt>
                <c:pt idx="13">
                  <c:v>46901</c:v>
                </c:pt>
                <c:pt idx="14">
                  <c:v>67200</c:v>
                </c:pt>
                <c:pt idx="15">
                  <c:v>67860</c:v>
                </c:pt>
                <c:pt idx="16">
                  <c:v>69090</c:v>
                </c:pt>
                <c:pt idx="17">
                  <c:v>69650</c:v>
                </c:pt>
                <c:pt idx="18">
                  <c:v>70500</c:v>
                </c:pt>
                <c:pt idx="19">
                  <c:v>80500</c:v>
                </c:pt>
                <c:pt idx="20">
                  <c:v>80501</c:v>
                </c:pt>
                <c:pt idx="21">
                  <c:v>100800.00000000001</c:v>
                </c:pt>
                <c:pt idx="22">
                  <c:v>101460.00000000001</c:v>
                </c:pt>
                <c:pt idx="23">
                  <c:v>102690.00000000001</c:v>
                </c:pt>
                <c:pt idx="24">
                  <c:v>103250.00000000001</c:v>
                </c:pt>
                <c:pt idx="25">
                  <c:v>104100.00000000001</c:v>
                </c:pt>
                <c:pt idx="26">
                  <c:v>114100.00000000001</c:v>
                </c:pt>
                <c:pt idx="27">
                  <c:v>114101.00000000001</c:v>
                </c:pt>
                <c:pt idx="28">
                  <c:v>134400</c:v>
                </c:pt>
                <c:pt idx="29">
                  <c:v>135060</c:v>
                </c:pt>
                <c:pt idx="30">
                  <c:v>136290</c:v>
                </c:pt>
                <c:pt idx="31">
                  <c:v>136850</c:v>
                </c:pt>
                <c:pt idx="32">
                  <c:v>137700</c:v>
                </c:pt>
                <c:pt idx="33">
                  <c:v>147700</c:v>
                </c:pt>
                <c:pt idx="34">
                  <c:v>147701</c:v>
                </c:pt>
              </c:numCache>
            </c:numRef>
          </c:xVal>
          <c:yVal>
            <c:numRef>
              <c:f>'EB FD'!$N$6:$N$40</c:f>
              <c:numCache>
                <c:formatCode>0%</c:formatCode>
                <c:ptCount val="3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0.1</c:v>
                </c:pt>
                <c:pt idx="10">
                  <c:v>0.15</c:v>
                </c:pt>
                <c:pt idx="11">
                  <c:v>0.2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0.05</c:v>
                </c:pt>
                <c:pt idx="16">
                  <c:v>0.1</c:v>
                </c:pt>
                <c:pt idx="17">
                  <c:v>0.15</c:v>
                </c:pt>
                <c:pt idx="18">
                  <c:v>0.2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0.05</c:v>
                </c:pt>
                <c:pt idx="23">
                  <c:v>0.1</c:v>
                </c:pt>
                <c:pt idx="24">
                  <c:v>0.15</c:v>
                </c:pt>
                <c:pt idx="25">
                  <c:v>0.2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0.05</c:v>
                </c:pt>
                <c:pt idx="30">
                  <c:v>0.1</c:v>
                </c:pt>
                <c:pt idx="31">
                  <c:v>0.15</c:v>
                </c:pt>
                <c:pt idx="32">
                  <c:v>0.2</c:v>
                </c:pt>
                <c:pt idx="33">
                  <c:v>0.2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F-48A7-8F58-0204F47C745F}"/>
            </c:ext>
          </c:extLst>
        </c:ser>
        <c:ser>
          <c:idx val="2"/>
          <c:order val="2"/>
          <c:tx>
            <c:strRef>
              <c:f>'EB FD'!$O$3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'EB FD'!$O$6:$O$40</c:f>
              <c:numCache>
                <c:formatCode>General</c:formatCode>
                <c:ptCount val="35"/>
                <c:pt idx="0">
                  <c:v>0</c:v>
                </c:pt>
                <c:pt idx="1">
                  <c:v>660</c:v>
                </c:pt>
                <c:pt idx="2">
                  <c:v>1890</c:v>
                </c:pt>
                <c:pt idx="3">
                  <c:v>2450</c:v>
                </c:pt>
                <c:pt idx="4">
                  <c:v>3300</c:v>
                </c:pt>
                <c:pt idx="5">
                  <c:v>13300</c:v>
                </c:pt>
                <c:pt idx="6">
                  <c:v>13301</c:v>
                </c:pt>
                <c:pt idx="7">
                  <c:v>37600</c:v>
                </c:pt>
                <c:pt idx="8">
                  <c:v>38260</c:v>
                </c:pt>
                <c:pt idx="9">
                  <c:v>39490</c:v>
                </c:pt>
                <c:pt idx="10">
                  <c:v>40050</c:v>
                </c:pt>
                <c:pt idx="11">
                  <c:v>40900</c:v>
                </c:pt>
                <c:pt idx="12">
                  <c:v>50900</c:v>
                </c:pt>
                <c:pt idx="13">
                  <c:v>50901</c:v>
                </c:pt>
                <c:pt idx="14">
                  <c:v>75200</c:v>
                </c:pt>
                <c:pt idx="15">
                  <c:v>75860</c:v>
                </c:pt>
                <c:pt idx="16">
                  <c:v>77090</c:v>
                </c:pt>
                <c:pt idx="17">
                  <c:v>77650</c:v>
                </c:pt>
                <c:pt idx="18">
                  <c:v>78500</c:v>
                </c:pt>
                <c:pt idx="19">
                  <c:v>88500</c:v>
                </c:pt>
                <c:pt idx="20">
                  <c:v>88501</c:v>
                </c:pt>
                <c:pt idx="21">
                  <c:v>112800.00000000001</c:v>
                </c:pt>
                <c:pt idx="22">
                  <c:v>113460.00000000001</c:v>
                </c:pt>
                <c:pt idx="23">
                  <c:v>114690.00000000001</c:v>
                </c:pt>
                <c:pt idx="24">
                  <c:v>115250.00000000001</c:v>
                </c:pt>
                <c:pt idx="25">
                  <c:v>116100.00000000001</c:v>
                </c:pt>
                <c:pt idx="26">
                  <c:v>126100.00000000001</c:v>
                </c:pt>
                <c:pt idx="27">
                  <c:v>126101.00000000001</c:v>
                </c:pt>
                <c:pt idx="28">
                  <c:v>150400</c:v>
                </c:pt>
                <c:pt idx="29">
                  <c:v>151060</c:v>
                </c:pt>
                <c:pt idx="30">
                  <c:v>152290</c:v>
                </c:pt>
                <c:pt idx="31">
                  <c:v>152850</c:v>
                </c:pt>
                <c:pt idx="32">
                  <c:v>153700</c:v>
                </c:pt>
                <c:pt idx="33">
                  <c:v>163700</c:v>
                </c:pt>
              </c:numCache>
            </c:numRef>
          </c:xVal>
          <c:yVal>
            <c:numRef>
              <c:f>'EB FD'!$P$6:$P$40</c:f>
              <c:numCache>
                <c:formatCode>0%</c:formatCode>
                <c:ptCount val="3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0.1</c:v>
                </c:pt>
                <c:pt idx="10">
                  <c:v>0.15</c:v>
                </c:pt>
                <c:pt idx="11">
                  <c:v>0.2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0.05</c:v>
                </c:pt>
                <c:pt idx="16">
                  <c:v>0.1</c:v>
                </c:pt>
                <c:pt idx="17">
                  <c:v>0.15</c:v>
                </c:pt>
                <c:pt idx="18">
                  <c:v>0.2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0.05</c:v>
                </c:pt>
                <c:pt idx="23">
                  <c:v>0.1</c:v>
                </c:pt>
                <c:pt idx="24">
                  <c:v>0.15</c:v>
                </c:pt>
                <c:pt idx="25">
                  <c:v>0.2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0.05</c:v>
                </c:pt>
                <c:pt idx="30">
                  <c:v>0.1</c:v>
                </c:pt>
                <c:pt idx="31">
                  <c:v>0.15</c:v>
                </c:pt>
                <c:pt idx="32">
                  <c:v>0.2</c:v>
                </c:pt>
                <c:pt idx="33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F-48A7-8F58-0204F47C7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348512"/>
        <c:axId val="1743349472"/>
      </c:scatterChart>
      <c:valAx>
        <c:axId val="1743348512"/>
        <c:scaling>
          <c:orientation val="minMax"/>
          <c:max val="1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Time(ms)</a:t>
                </a:r>
              </a:p>
            </c:rich>
          </c:tx>
          <c:layout>
            <c:manualLayout>
              <c:xMode val="edge"/>
              <c:yMode val="edge"/>
              <c:x val="0.44151306790876493"/>
              <c:y val="0.88765256432978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3349472"/>
        <c:crosses val="autoZero"/>
        <c:crossBetween val="midCat"/>
      </c:valAx>
      <c:valAx>
        <c:axId val="17433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FD(%)</a:t>
                </a:r>
                <a:endParaRPr lang="zh-TW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334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Differences in damage under different hats</a:t>
            </a:r>
            <a:br>
              <a:rPr lang="en-US" altLang="zh-TW"/>
            </a:br>
            <a:r>
              <a:rPr lang="en-US" altLang="zh-TW"/>
              <a:t>(One EB cycle compare</a:t>
            </a:r>
            <a:r>
              <a:rPr lang="en-US" altLang="zh-TW" baseline="0"/>
              <a:t>)</a:t>
            </a:r>
            <a:endParaRPr lang="zh-TW" altLang="en-US"/>
          </a:p>
        </c:rich>
      </c:tx>
      <c:layout>
        <c:manualLayout>
          <c:xMode val="edge"/>
          <c:yMode val="edge"/>
          <c:x val="0.15380555555555558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745603674540686"/>
          <c:y val="0.20467592592592593"/>
          <c:w val="0.81643285214348194"/>
          <c:h val="0.57604913969087201"/>
        </c:manualLayout>
      </c:layout>
      <c:lineChart>
        <c:grouping val="standard"/>
        <c:varyColors val="0"/>
        <c:ser>
          <c:idx val="0"/>
          <c:order val="0"/>
          <c:tx>
            <c:strRef>
              <c:f>'One EB cycle compare'!$B$7</c:f>
              <c:strCache>
                <c:ptCount val="1"/>
                <c:pt idx="0">
                  <c:v>Equip Adjust</c:v>
                </c:pt>
              </c:strCache>
            </c:strRef>
          </c:tx>
          <c:spPr>
            <a:ln w="1905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'One EB cycle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'One EB cycle compare'!$B$8:$B$13</c:f>
              <c:numCache>
                <c:formatCode>0.0%</c:formatCode>
                <c:ptCount val="6"/>
                <c:pt idx="0">
                  <c:v>1.0367404867096801</c:v>
                </c:pt>
                <c:pt idx="1">
                  <c:v>1.0267899382258081</c:v>
                </c:pt>
                <c:pt idx="2">
                  <c:v>1.0168393897419366</c:v>
                </c:pt>
                <c:pt idx="3">
                  <c:v>1.0068888412580648</c:v>
                </c:pt>
                <c:pt idx="4">
                  <c:v>1</c:v>
                </c:pt>
                <c:pt idx="5">
                  <c:v>0.9946420123548384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2-45E5-9A50-3C265F029B30}"/>
            </c:ext>
          </c:extLst>
        </c:ser>
        <c:ser>
          <c:idx val="1"/>
          <c:order val="1"/>
          <c:tx>
            <c:strRef>
              <c:f>'One EB cycle compare'!$C$7</c:f>
              <c:strCache>
                <c:ptCount val="1"/>
                <c:pt idx="0">
                  <c:v>DPS Diff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'One EB cycle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'One EB cycle compare'!$C$8:$C$13</c:f>
              <c:numCache>
                <c:formatCode>0.0%</c:formatCode>
                <c:ptCount val="6"/>
                <c:pt idx="0">
                  <c:v>1</c:v>
                </c:pt>
                <c:pt idx="1">
                  <c:v>1.0432886818391405</c:v>
                </c:pt>
                <c:pt idx="2">
                  <c:v>1.0913962136146576</c:v>
                </c:pt>
                <c:pt idx="3">
                  <c:v>1.1422322678851011</c:v>
                </c:pt>
                <c:pt idx="4">
                  <c:v>1.1630528701305454</c:v>
                </c:pt>
                <c:pt idx="5">
                  <c:v>1.1661033879395795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2-45E5-9A50-3C265F029B30}"/>
            </c:ext>
          </c:extLst>
        </c:ser>
        <c:ser>
          <c:idx val="3"/>
          <c:order val="2"/>
          <c:tx>
            <c:strRef>
              <c:f>'One EB cycle compare'!$D$7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rgbClr val="F15D5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15D5D"/>
              </a:solidFill>
              <a:ln w="9525">
                <a:solidFill>
                  <a:srgbClr val="F15D5D"/>
                </a:solidFill>
              </a:ln>
              <a:effectLst/>
            </c:spPr>
          </c:marker>
          <c:cat>
            <c:strRef>
              <c:f>'One EB cycle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'One EB cycle compare'!$D$8:$D$13</c:f>
              <c:numCache>
                <c:formatCode>0.00%</c:formatCode>
                <c:ptCount val="6"/>
                <c:pt idx="0">
                  <c:v>1.0367404867096801</c:v>
                </c:pt>
                <c:pt idx="1">
                  <c:v>1.0712383211772958</c:v>
                </c:pt>
                <c:pt idx="2">
                  <c:v>1.1097746598185887</c:v>
                </c:pt>
                <c:pt idx="3">
                  <c:v>1.1501009246584009</c:v>
                </c:pt>
                <c:pt idx="4">
                  <c:v>1.1630528701305454</c:v>
                </c:pt>
                <c:pt idx="5">
                  <c:v>1.1598554203940181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F2-45E5-9A50-3C265F029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15567"/>
        <c:axId val="66218447"/>
      </c:lineChart>
      <c:catAx>
        <c:axId val="6621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Different</a:t>
                </a:r>
                <a:r>
                  <a:rPr lang="en-US" altLang="zh-TW" baseline="0"/>
                  <a:t> hats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2650568678915129"/>
              <c:y val="0.84645778652668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18447"/>
        <c:crosses val="autoZero"/>
        <c:auto val="1"/>
        <c:lblAlgn val="ctr"/>
        <c:lblOffset val="100"/>
        <c:noMultiLvlLbl val="0"/>
      </c:catAx>
      <c:valAx>
        <c:axId val="66218447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Damage Adjust(%)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1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6570428696413"/>
          <c:y val="0.90335593467483233"/>
          <c:w val="0.667211934476569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Damage</a:t>
            </a:r>
            <a:r>
              <a:rPr lang="en-US" altLang="zh-TW" baseline="0"/>
              <a:t> composition</a:t>
            </a:r>
            <a:r>
              <a:rPr lang="en-US" altLang="zh-TW"/>
              <a:t> under different hats</a:t>
            </a:r>
            <a:br>
              <a:rPr lang="en-US" altLang="zh-TW"/>
            </a:br>
            <a:r>
              <a:rPr lang="en-US" altLang="zh-TW"/>
              <a:t>(One EB cycle compare</a:t>
            </a:r>
            <a:r>
              <a:rPr lang="en-US" altLang="zh-TW" baseline="0"/>
              <a:t>)</a:t>
            </a:r>
            <a:endParaRPr lang="zh-TW" altLang="en-US"/>
          </a:p>
        </c:rich>
      </c:tx>
      <c:layout>
        <c:manualLayout>
          <c:xMode val="edge"/>
          <c:yMode val="edge"/>
          <c:x val="0.15380555555555558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745603674540686"/>
          <c:y val="0.20467592592592593"/>
          <c:w val="0.81643285214348194"/>
          <c:h val="0.57604913969087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'One EB cycle compare'!$E$7</c:f>
              <c:strCache>
                <c:ptCount val="1"/>
                <c:pt idx="0">
                  <c:v>Continual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strRef>
              <c:f>'One EB cycle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'One EB cycle compare'!$E$8:$E$13</c:f>
              <c:numCache>
                <c:formatCode>0%</c:formatCode>
                <c:ptCount val="6"/>
                <c:pt idx="0">
                  <c:v>157.91630000000001</c:v>
                </c:pt>
                <c:pt idx="1">
                  <c:v>158.27000000000001</c:v>
                </c:pt>
                <c:pt idx="2">
                  <c:v>158.97559999999999</c:v>
                </c:pt>
                <c:pt idx="3">
                  <c:v>159.4314</c:v>
                </c:pt>
                <c:pt idx="4">
                  <c:v>159.95169999999999</c:v>
                </c:pt>
                <c:pt idx="5">
                  <c:v>160.04849999999999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4-4F1D-B866-FBE8913F1C54}"/>
            </c:ext>
          </c:extLst>
        </c:ser>
        <c:ser>
          <c:idx val="1"/>
          <c:order val="1"/>
          <c:tx>
            <c:strRef>
              <c:f>'One EB cycle compare'!$F$7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'One EB cycle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'One EB cycle compare'!$F$8:$F$13</c:f>
              <c:numCache>
                <c:formatCode>0%</c:formatCode>
                <c:ptCount val="6"/>
                <c:pt idx="0">
                  <c:v>428.73820000000001</c:v>
                </c:pt>
                <c:pt idx="1">
                  <c:v>453.78</c:v>
                </c:pt>
                <c:pt idx="2">
                  <c:v>481.29689999999999</c:v>
                </c:pt>
                <c:pt idx="3">
                  <c:v>510.66430000000003</c:v>
                </c:pt>
                <c:pt idx="4">
                  <c:v>522.35850000000005</c:v>
                </c:pt>
                <c:pt idx="5">
                  <c:v>524.05129999999997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4-4F1D-B866-FBE8913F1C54}"/>
            </c:ext>
          </c:extLst>
        </c:ser>
        <c:ser>
          <c:idx val="3"/>
          <c:order val="2"/>
          <c:tx>
            <c:strRef>
              <c:f>'One EB cycle compare'!$G$7</c:f>
              <c:strCache>
                <c:ptCount val="1"/>
                <c:pt idx="0">
                  <c:v>Burst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'One EB cycle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'One EB cycle compare'!$G$8:$G$13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04-4F1D-B866-FBE8913F1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215567"/>
        <c:axId val="66218447"/>
      </c:barChart>
      <c:catAx>
        <c:axId val="6621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Different</a:t>
                </a:r>
                <a:r>
                  <a:rPr lang="en-US" altLang="zh-TW" baseline="0"/>
                  <a:t> hats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2650568678915129"/>
              <c:y val="0.84645778652668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18447"/>
        <c:crosses val="autoZero"/>
        <c:auto val="1"/>
        <c:lblAlgn val="ctr"/>
        <c:lblOffset val="100"/>
        <c:noMultiLvlLbl val="0"/>
      </c:catAx>
      <c:valAx>
        <c:axId val="66218447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Damage(%)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1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82692839579753"/>
          <c:y val="0.9125463370861322"/>
          <c:w val="0.40656117865120123"/>
          <c:h val="7.9328692864770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Damage composition under different hats</a:t>
            </a:r>
            <a:br>
              <a:rPr lang="en-US" altLang="zh-TW"/>
            </a:br>
            <a:r>
              <a:rPr lang="en-US" altLang="zh-TW"/>
              <a:t>(One EB cycle compare</a:t>
            </a:r>
            <a:r>
              <a:rPr lang="en-US" altLang="zh-TW" baseline="0"/>
              <a:t>)</a:t>
            </a:r>
            <a:endParaRPr lang="zh-TW" altLang="en-US"/>
          </a:p>
        </c:rich>
      </c:tx>
      <c:layout>
        <c:manualLayout>
          <c:xMode val="edge"/>
          <c:yMode val="edge"/>
          <c:x val="0.15380555555555558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745603674540686"/>
          <c:y val="0.20467592592592593"/>
          <c:w val="0.81643285214348194"/>
          <c:h val="0.57604913969087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'One EB cycle compare'!$H$7</c:f>
              <c:strCache>
                <c:ptCount val="1"/>
                <c:pt idx="0">
                  <c:v>Continual %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'One EB cycle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'One EB cycle compare'!$H$8:$H$13</c:f>
              <c:numCache>
                <c:formatCode>0.00%</c:formatCode>
                <c:ptCount val="6"/>
                <c:pt idx="0">
                  <c:v>0.26918109381245692</c:v>
                </c:pt>
                <c:pt idx="1">
                  <c:v>0.25858998447839232</c:v>
                </c:pt>
                <c:pt idx="2">
                  <c:v>0.24829365621668895</c:v>
                </c:pt>
                <c:pt idx="3">
                  <c:v>0.23792332945876235</c:v>
                </c:pt>
                <c:pt idx="4">
                  <c:v>0.23442665813877617</c:v>
                </c:pt>
                <c:pt idx="5">
                  <c:v>0.23395489956290003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7-45F0-970E-98A3762850C7}"/>
            </c:ext>
          </c:extLst>
        </c:ser>
        <c:ser>
          <c:idx val="1"/>
          <c:order val="1"/>
          <c:tx>
            <c:strRef>
              <c:f>'One EB cycle compare'!$I$7</c:f>
              <c:strCache>
                <c:ptCount val="1"/>
                <c:pt idx="0">
                  <c:v>Rotation %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'One EB cycle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'One EB cycle compare'!$I$8:$I$13</c:f>
              <c:numCache>
                <c:formatCode>0.00%</c:formatCode>
                <c:ptCount val="6"/>
                <c:pt idx="0">
                  <c:v>0.73081890618754308</c:v>
                </c:pt>
                <c:pt idx="1">
                  <c:v>0.74141001552160768</c:v>
                </c:pt>
                <c:pt idx="2">
                  <c:v>0.75170634378331092</c:v>
                </c:pt>
                <c:pt idx="3">
                  <c:v>0.76207667054123751</c:v>
                </c:pt>
                <c:pt idx="4">
                  <c:v>0.76557334186122383</c:v>
                </c:pt>
                <c:pt idx="5">
                  <c:v>0.76604510043709995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7-45F0-970E-98A3762850C7}"/>
            </c:ext>
          </c:extLst>
        </c:ser>
        <c:ser>
          <c:idx val="3"/>
          <c:order val="2"/>
          <c:tx>
            <c:strRef>
              <c:f>'One EB cycle compare'!$J$7</c:f>
              <c:strCache>
                <c:ptCount val="1"/>
                <c:pt idx="0">
                  <c:v>Burst %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'One EB cycle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'One EB cycle compare'!$J$8:$J$13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7-45F0-970E-98A376285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215567"/>
        <c:axId val="66218447"/>
      </c:barChart>
      <c:catAx>
        <c:axId val="6621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Different</a:t>
                </a:r>
                <a:r>
                  <a:rPr lang="en-US" altLang="zh-TW" baseline="0"/>
                  <a:t> hats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2650568678915129"/>
              <c:y val="0.84645778652668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18447"/>
        <c:crosses val="autoZero"/>
        <c:auto val="1"/>
        <c:lblAlgn val="ctr"/>
        <c:lblOffset val="100"/>
        <c:noMultiLvlLbl val="0"/>
      </c:catAx>
      <c:valAx>
        <c:axId val="662184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Damage(%)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1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22665126162374"/>
          <c:y val="0.90335580911924707"/>
          <c:w val="0.58725984218965921"/>
          <c:h val="7.7545622468308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Differences in damage under different hats</a:t>
            </a:r>
            <a:br>
              <a:rPr lang="en-US" altLang="zh-TW"/>
            </a:br>
            <a:r>
              <a:rPr lang="en-US" altLang="zh-TW"/>
              <a:t>(120</a:t>
            </a:r>
            <a:r>
              <a:rPr lang="en-US" altLang="zh-TW" baseline="0"/>
              <a:t> with Burst)</a:t>
            </a:r>
            <a:endParaRPr lang="zh-TW" altLang="en-US"/>
          </a:p>
        </c:rich>
      </c:tx>
      <c:layout>
        <c:manualLayout>
          <c:xMode val="edge"/>
          <c:yMode val="edge"/>
          <c:x val="0.15380555555555558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745603674540686"/>
          <c:y val="0.20467592592592593"/>
          <c:w val="0.81643285214348194"/>
          <c:h val="0.57604913969087201"/>
        </c:manualLayout>
      </c:layout>
      <c:lineChart>
        <c:grouping val="standard"/>
        <c:varyColors val="0"/>
        <c:ser>
          <c:idx val="0"/>
          <c:order val="0"/>
          <c:tx>
            <c:strRef>
              <c:f>'120 Compare'!$B$7</c:f>
              <c:strCache>
                <c:ptCount val="1"/>
                <c:pt idx="0">
                  <c:v>Equip Adjust</c:v>
                </c:pt>
              </c:strCache>
            </c:strRef>
          </c:tx>
          <c:spPr>
            <a:ln w="1905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'120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'120 Compare'!$B$8:$B$13</c:f>
              <c:numCache>
                <c:formatCode>0.0%</c:formatCode>
                <c:ptCount val="6"/>
                <c:pt idx="0">
                  <c:v>1.0367404867096801</c:v>
                </c:pt>
                <c:pt idx="1">
                  <c:v>1.0267899382258081</c:v>
                </c:pt>
                <c:pt idx="2">
                  <c:v>1.0168393897419366</c:v>
                </c:pt>
                <c:pt idx="3">
                  <c:v>1.0068888412580648</c:v>
                </c:pt>
                <c:pt idx="4">
                  <c:v>1</c:v>
                </c:pt>
                <c:pt idx="5">
                  <c:v>0.9946420123548384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5-4928-BC56-C9B752287974}"/>
            </c:ext>
          </c:extLst>
        </c:ser>
        <c:ser>
          <c:idx val="1"/>
          <c:order val="1"/>
          <c:tx>
            <c:strRef>
              <c:f>'120 Compare'!$C$7</c:f>
              <c:strCache>
                <c:ptCount val="1"/>
                <c:pt idx="0">
                  <c:v>DPS Diff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'120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'120 Compare'!$C$8:$C$13</c:f>
              <c:numCache>
                <c:formatCode>0.0%</c:formatCode>
                <c:ptCount val="6"/>
                <c:pt idx="0">
                  <c:v>1</c:v>
                </c:pt>
                <c:pt idx="1">
                  <c:v>1.0907881997646991</c:v>
                </c:pt>
                <c:pt idx="2">
                  <c:v>1.1045730174137074</c:v>
                </c:pt>
                <c:pt idx="3">
                  <c:v>1.1201174343678673</c:v>
                </c:pt>
                <c:pt idx="4">
                  <c:v>1.1214546070056253</c:v>
                </c:pt>
                <c:pt idx="5">
                  <c:v>1.1232209621894353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5-4928-BC56-C9B752287974}"/>
            </c:ext>
          </c:extLst>
        </c:ser>
        <c:ser>
          <c:idx val="3"/>
          <c:order val="2"/>
          <c:tx>
            <c:strRef>
              <c:f>'120 Compare'!$D$7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rgbClr val="F15D5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15D5D"/>
              </a:solidFill>
              <a:ln w="9525">
                <a:solidFill>
                  <a:srgbClr val="F15D5D"/>
                </a:solidFill>
              </a:ln>
              <a:effectLst/>
            </c:spPr>
          </c:marker>
          <c:cat>
            <c:strRef>
              <c:f>'120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'120 Compare'!$D$8:$D$13</c:f>
              <c:numCache>
                <c:formatCode>0.00%</c:formatCode>
                <c:ptCount val="6"/>
                <c:pt idx="0">
                  <c:v>1.0367404867096801</c:v>
                </c:pt>
                <c:pt idx="1">
                  <c:v>1.1200103482538357</c:v>
                </c:pt>
                <c:pt idx="2">
                  <c:v>1.1231733529523638</c:v>
                </c:pt>
                <c:pt idx="3">
                  <c:v>1.1278337455636183</c:v>
                </c:pt>
                <c:pt idx="4">
                  <c:v>1.1214546070056253</c:v>
                </c:pt>
                <c:pt idx="5">
                  <c:v>1.1172027581512378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55-4928-BC56-C9B752287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15567"/>
        <c:axId val="66218447"/>
      </c:lineChart>
      <c:catAx>
        <c:axId val="6621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Different</a:t>
                </a:r>
                <a:r>
                  <a:rPr lang="en-US" altLang="zh-TW" baseline="0"/>
                  <a:t> hats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2650568678915129"/>
              <c:y val="0.84645778652668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18447"/>
        <c:crosses val="autoZero"/>
        <c:auto val="1"/>
        <c:lblAlgn val="ctr"/>
        <c:lblOffset val="100"/>
        <c:noMultiLvlLbl val="0"/>
      </c:catAx>
      <c:valAx>
        <c:axId val="66218447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Damage Adjust(%)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1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6570428696413"/>
          <c:y val="0.90335593467483233"/>
          <c:w val="0.667211934476569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Damage</a:t>
            </a:r>
            <a:r>
              <a:rPr lang="en-US" altLang="zh-TW" baseline="0"/>
              <a:t> composition</a:t>
            </a:r>
            <a:r>
              <a:rPr lang="en-US" altLang="zh-TW"/>
              <a:t> under different hats</a:t>
            </a:r>
            <a:br>
              <a:rPr lang="en-US" altLang="zh-TW"/>
            </a:br>
            <a:r>
              <a:rPr lang="en-US" altLang="zh-TW"/>
              <a:t>(120 with</a:t>
            </a:r>
            <a:r>
              <a:rPr lang="en-US" altLang="zh-TW" baseline="0"/>
              <a:t> Burst)</a:t>
            </a:r>
            <a:endParaRPr lang="zh-TW" altLang="en-US"/>
          </a:p>
        </c:rich>
      </c:tx>
      <c:layout>
        <c:manualLayout>
          <c:xMode val="edge"/>
          <c:yMode val="edge"/>
          <c:x val="0.15380555555555558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745603674540686"/>
          <c:y val="0.20467592592592593"/>
          <c:w val="0.81643285214348194"/>
          <c:h val="0.57604913969087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'120 Compare'!$E$7</c:f>
              <c:strCache>
                <c:ptCount val="1"/>
                <c:pt idx="0">
                  <c:v>Continual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strRef>
              <c:f>'120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'120 Compare'!$E$8:$E$13</c:f>
              <c:numCache>
                <c:formatCode>0%</c:formatCode>
                <c:ptCount val="6"/>
                <c:pt idx="0">
                  <c:v>158.72399999999999</c:v>
                </c:pt>
                <c:pt idx="1">
                  <c:v>160.1592</c:v>
                </c:pt>
                <c:pt idx="2">
                  <c:v>160.1481</c:v>
                </c:pt>
                <c:pt idx="3">
                  <c:v>160.1592</c:v>
                </c:pt>
                <c:pt idx="4">
                  <c:v>160.1592</c:v>
                </c:pt>
                <c:pt idx="5">
                  <c:v>160.1592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C-42AB-8640-DBD2342F53F4}"/>
            </c:ext>
          </c:extLst>
        </c:ser>
        <c:ser>
          <c:idx val="1"/>
          <c:order val="1"/>
          <c:tx>
            <c:strRef>
              <c:f>'120 Compare'!$F$7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'120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'120 Compare'!$F$8:$F$13</c:f>
              <c:numCache>
                <c:formatCode>0%</c:formatCode>
                <c:ptCount val="6"/>
                <c:pt idx="0">
                  <c:v>415.83780000000002</c:v>
                </c:pt>
                <c:pt idx="1">
                  <c:v>487.7355</c:v>
                </c:pt>
                <c:pt idx="2">
                  <c:v>499.20859999999999</c:v>
                </c:pt>
                <c:pt idx="3">
                  <c:v>511.61259999999999</c:v>
                </c:pt>
                <c:pt idx="4">
                  <c:v>512.70119999999997</c:v>
                </c:pt>
                <c:pt idx="5">
                  <c:v>514.37890000000004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C-42AB-8640-DBD2342F53F4}"/>
            </c:ext>
          </c:extLst>
        </c:ser>
        <c:ser>
          <c:idx val="3"/>
          <c:order val="2"/>
          <c:tx>
            <c:strRef>
              <c:f>'120 Compare'!$G$7</c:f>
              <c:strCache>
                <c:ptCount val="1"/>
                <c:pt idx="0">
                  <c:v>Burst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'120 Compare'!$A$8:$A$13</c:f>
              <c:strCache>
                <c:ptCount val="6"/>
                <c:pt idx="0">
                  <c:v>Full INT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</c:strCache>
            </c:strRef>
          </c:cat>
          <c:val>
            <c:numRef>
              <c:f>'120 Compare'!$G$8:$G$13</c:f>
              <c:numCache>
                <c:formatCode>0%</c:formatCode>
                <c:ptCount val="6"/>
                <c:pt idx="0">
                  <c:v>239.54400000000001</c:v>
                </c:pt>
                <c:pt idx="1">
                  <c:v>240.1223</c:v>
                </c:pt>
                <c:pt idx="2">
                  <c:v>239.8826</c:v>
                </c:pt>
                <c:pt idx="3">
                  <c:v>240.1223</c:v>
                </c:pt>
                <c:pt idx="4">
                  <c:v>240.1223</c:v>
                </c:pt>
                <c:pt idx="5">
                  <c:v>239.8826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CC-42AB-8640-DBD2342F5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215567"/>
        <c:axId val="66218447"/>
      </c:barChart>
      <c:catAx>
        <c:axId val="6621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Different</a:t>
                </a:r>
                <a:r>
                  <a:rPr lang="en-US" altLang="zh-TW" baseline="0"/>
                  <a:t> hats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2650568678915129"/>
              <c:y val="0.84645778652668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18447"/>
        <c:crosses val="autoZero"/>
        <c:auto val="1"/>
        <c:lblAlgn val="ctr"/>
        <c:lblOffset val="100"/>
        <c:noMultiLvlLbl val="0"/>
      </c:catAx>
      <c:valAx>
        <c:axId val="6621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Damage(%)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1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82692839579753"/>
          <c:y val="0.9125463370861322"/>
          <c:w val="0.41175857729629012"/>
          <c:h val="7.6602735143060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171450</xdr:rowOff>
    </xdr:from>
    <xdr:to>
      <xdr:col>11</xdr:col>
      <xdr:colOff>304800</xdr:colOff>
      <xdr:row>18</xdr:row>
      <xdr:rowOff>30480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A0E1113-3D99-450D-B7C3-B14C3B34F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323849</xdr:colOff>
      <xdr:row>0</xdr:row>
      <xdr:rowOff>171450</xdr:rowOff>
    </xdr:from>
    <xdr:to>
      <xdr:col>22</xdr:col>
      <xdr:colOff>150974</xdr:colOff>
      <xdr:row>18</xdr:row>
      <xdr:rowOff>30480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306F097-244E-424A-84D0-A4072D213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90</xdr:row>
      <xdr:rowOff>47625</xdr:rowOff>
    </xdr:from>
    <xdr:to>
      <xdr:col>11</xdr:col>
      <xdr:colOff>304800</xdr:colOff>
      <xdr:row>108</xdr:row>
      <xdr:rowOff>87630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54EBE5D-1D3E-4EC1-B17A-05F42F26F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266700</xdr:colOff>
      <xdr:row>23</xdr:row>
      <xdr:rowOff>28575</xdr:rowOff>
    </xdr:from>
    <xdr:to>
      <xdr:col>28</xdr:col>
      <xdr:colOff>190500</xdr:colOff>
      <xdr:row>37</xdr:row>
      <xdr:rowOff>190500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13B5BAA-DB8B-3C2B-B1D5-16AD5AA0A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13</xdr:row>
      <xdr:rowOff>123825</xdr:rowOff>
    </xdr:from>
    <xdr:to>
      <xdr:col>5</xdr:col>
      <xdr:colOff>333375</xdr:colOff>
      <xdr:row>27</xdr:row>
      <xdr:rowOff>66675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3199D61-BDBE-41DB-9FAC-BE7FE64C8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266700</xdr:colOff>
      <xdr:row>41</xdr:row>
      <xdr:rowOff>144340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DAF47F7-EB82-4ABB-9E73-C4F723BEF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274759</xdr:colOff>
      <xdr:row>28</xdr:row>
      <xdr:rowOff>9158</xdr:rowOff>
    </xdr:from>
    <xdr:to>
      <xdr:col>10</xdr:col>
      <xdr:colOff>962757</xdr:colOff>
      <xdr:row>41</xdr:row>
      <xdr:rowOff>153498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51EB97A-4F23-4CCA-B2B3-927549C14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13</xdr:row>
      <xdr:rowOff>123825</xdr:rowOff>
    </xdr:from>
    <xdr:to>
      <xdr:col>5</xdr:col>
      <xdr:colOff>333375</xdr:colOff>
      <xdr:row>27</xdr:row>
      <xdr:rowOff>66675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3DA2AC8-21A4-C32B-9007-B451FD519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266700</xdr:colOff>
      <xdr:row>41</xdr:row>
      <xdr:rowOff>144340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467E58F-7E4B-4177-96C6-4FFEDF7EB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274759</xdr:colOff>
      <xdr:row>28</xdr:row>
      <xdr:rowOff>0</xdr:rowOff>
    </xdr:from>
    <xdr:to>
      <xdr:col>10</xdr:col>
      <xdr:colOff>962757</xdr:colOff>
      <xdr:row>41</xdr:row>
      <xdr:rowOff>144340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1BCAA0D-3689-4342-BAE7-B1E702C25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13</xdr:row>
      <xdr:rowOff>123825</xdr:rowOff>
    </xdr:from>
    <xdr:to>
      <xdr:col>5</xdr:col>
      <xdr:colOff>333375</xdr:colOff>
      <xdr:row>27</xdr:row>
      <xdr:rowOff>66675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BD104FC-586A-4804-9D25-6410644DC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266700</xdr:colOff>
      <xdr:row>41</xdr:row>
      <xdr:rowOff>144340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D1E9A2D-ADE5-46E0-B1AD-8CD7C6072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274759</xdr:colOff>
      <xdr:row>28</xdr:row>
      <xdr:rowOff>0</xdr:rowOff>
    </xdr:from>
    <xdr:to>
      <xdr:col>10</xdr:col>
      <xdr:colOff>962757</xdr:colOff>
      <xdr:row>41</xdr:row>
      <xdr:rowOff>144340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4FB7259-915C-45A8-BE84-1301CB754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13</xdr:row>
      <xdr:rowOff>123825</xdr:rowOff>
    </xdr:from>
    <xdr:to>
      <xdr:col>5</xdr:col>
      <xdr:colOff>333375</xdr:colOff>
      <xdr:row>27</xdr:row>
      <xdr:rowOff>66675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50AD66E-0240-4C4A-A90C-A62A853B3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266700</xdr:colOff>
      <xdr:row>41</xdr:row>
      <xdr:rowOff>144340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83EB7D5-C0BE-480E-8B6D-46C748319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274759</xdr:colOff>
      <xdr:row>28</xdr:row>
      <xdr:rowOff>0</xdr:rowOff>
    </xdr:from>
    <xdr:to>
      <xdr:col>10</xdr:col>
      <xdr:colOff>962757</xdr:colOff>
      <xdr:row>41</xdr:row>
      <xdr:rowOff>144340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D148C10-1C3F-41D1-8147-C6522A422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9"/>
  <sheetViews>
    <sheetView workbookViewId="0">
      <selection activeCell="A17" sqref="A17"/>
    </sheetView>
  </sheetViews>
  <sheetFormatPr defaultColWidth="11.25" defaultRowHeight="15" customHeight="1"/>
  <cols>
    <col min="1" max="1" width="24" bestFit="1" customWidth="1"/>
    <col min="2" max="2" width="6.625" customWidth="1"/>
    <col min="3" max="3" width="10.75" customWidth="1"/>
    <col min="4" max="4" width="12.5" bestFit="1" customWidth="1"/>
    <col min="5" max="5" width="14.625" bestFit="1" customWidth="1"/>
    <col min="6" max="6" width="8.75" bestFit="1" customWidth="1"/>
    <col min="7" max="7" width="7.5" bestFit="1" customWidth="1"/>
    <col min="8" max="8" width="11.625" bestFit="1" customWidth="1"/>
    <col min="9" max="10" width="9.75" bestFit="1" customWidth="1"/>
    <col min="11" max="11" width="9.75" customWidth="1"/>
    <col min="12" max="12" width="14.125" bestFit="1" customWidth="1"/>
    <col min="13" max="28" width="7.375" bestFit="1" customWidth="1"/>
  </cols>
  <sheetData>
    <row r="1" spans="1:27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105" t="s">
        <v>138</v>
      </c>
      <c r="B2" s="106"/>
      <c r="C2" s="107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>
      <c r="A3" s="2" t="s">
        <v>141</v>
      </c>
      <c r="B3" s="3"/>
      <c r="C3" s="3" t="b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>
      <c r="A4" s="2" t="s">
        <v>0</v>
      </c>
      <c r="B4" s="3"/>
      <c r="C4" s="3" t="b">
        <v>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>
      <c r="A5" s="2" t="s">
        <v>1</v>
      </c>
      <c r="B5" s="3"/>
      <c r="C5" s="3" t="b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>
      <c r="A6" s="4" t="s">
        <v>2</v>
      </c>
      <c r="B6" s="5"/>
      <c r="C6" s="5" t="b"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>
      <c r="A7" s="4" t="s">
        <v>3</v>
      </c>
      <c r="B7" s="5"/>
      <c r="C7" s="5" t="b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>
      <c r="A8" s="4" t="s">
        <v>4</v>
      </c>
      <c r="B8" s="5"/>
      <c r="C8" s="5" t="b"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>
      <c r="A9" s="6" t="s">
        <v>5</v>
      </c>
      <c r="B9" s="7"/>
      <c r="C9" s="7" t="b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>
      <c r="A10" s="6" t="s">
        <v>6</v>
      </c>
      <c r="B10" s="7"/>
      <c r="C10" s="7" t="b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>
      <c r="A11" s="6" t="s">
        <v>7</v>
      </c>
      <c r="B11" s="7"/>
      <c r="C11" s="7" t="b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6.5" customHeight="1">
      <c r="A12" s="105" t="s">
        <v>140</v>
      </c>
      <c r="B12" s="107"/>
      <c r="C12" s="8">
        <f>5-COUNTIF(C3:C11,TRUE)</f>
        <v>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08" t="s">
        <v>139</v>
      </c>
      <c r="B14" s="107"/>
      <c r="C14" s="9">
        <v>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108" t="s">
        <v>137</v>
      </c>
      <c r="B15" s="107"/>
      <c r="C15" s="10">
        <v>0.06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108" t="s">
        <v>8</v>
      </c>
      <c r="B16" s="107"/>
      <c r="C16" s="10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8" ht="15.75" customHeight="1">
      <c r="A17" s="11" t="s">
        <v>154</v>
      </c>
      <c r="B17" s="11"/>
      <c r="C17" s="9" t="b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8" ht="15.75" customHeight="1">
      <c r="A18" s="11" t="s">
        <v>153</v>
      </c>
      <c r="B18" s="11"/>
      <c r="C18" s="9" t="b">
        <v>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8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8" ht="15.75" customHeight="1">
      <c r="A20" s="12"/>
      <c r="B20" s="12" t="s">
        <v>9</v>
      </c>
      <c r="C20" s="12" t="s">
        <v>10</v>
      </c>
      <c r="D20" s="12" t="s">
        <v>11</v>
      </c>
      <c r="E20" s="12" t="s">
        <v>12</v>
      </c>
      <c r="F20" s="12" t="s">
        <v>13</v>
      </c>
      <c r="G20" s="12" t="s">
        <v>14</v>
      </c>
      <c r="H20" s="12" t="s">
        <v>15</v>
      </c>
      <c r="I20" s="12" t="s">
        <v>16</v>
      </c>
      <c r="J20" s="12" t="s">
        <v>17</v>
      </c>
      <c r="K20" s="12" t="s">
        <v>71</v>
      </c>
      <c r="L20" s="12" t="s">
        <v>18</v>
      </c>
      <c r="M20" s="44" t="s">
        <v>19</v>
      </c>
      <c r="N20" s="44" t="s">
        <v>20</v>
      </c>
      <c r="O20" s="44" t="s">
        <v>21</v>
      </c>
      <c r="P20" s="44" t="s">
        <v>22</v>
      </c>
      <c r="Q20" s="44" t="s">
        <v>23</v>
      </c>
      <c r="R20" s="44" t="s">
        <v>24</v>
      </c>
      <c r="S20" s="44" t="s">
        <v>25</v>
      </c>
      <c r="T20" s="44" t="s">
        <v>26</v>
      </c>
      <c r="U20" s="44" t="s">
        <v>63</v>
      </c>
      <c r="V20" s="44" t="s">
        <v>64</v>
      </c>
      <c r="W20" s="44" t="s">
        <v>65</v>
      </c>
      <c r="X20" s="44" t="s">
        <v>66</v>
      </c>
      <c r="Y20" s="44" t="s">
        <v>67</v>
      </c>
      <c r="Z20" s="44" t="s">
        <v>68</v>
      </c>
      <c r="AA20" s="44" t="s">
        <v>69</v>
      </c>
      <c r="AB20" s="44" t="s">
        <v>70</v>
      </c>
    </row>
    <row r="21" spans="1:28" ht="15.75" customHeight="1">
      <c r="A21" s="3" t="s">
        <v>142</v>
      </c>
      <c r="B21" s="13">
        <f>IF(C3,'CD 與傷害軸計算'!F4,'CD 與傷害軸計算'!F6)</f>
        <v>5</v>
      </c>
      <c r="C21" s="12">
        <v>55</v>
      </c>
      <c r="D21" s="12">
        <v>30</v>
      </c>
      <c r="E21" s="12">
        <f>IF(C$17,161,160)</f>
        <v>161</v>
      </c>
      <c r="F21" s="12"/>
      <c r="G21" s="12">
        <f t="shared" ref="G21:G27" si="0">SUM(C21:E21)</f>
        <v>246</v>
      </c>
      <c r="H21" s="12">
        <f t="shared" ref="H21:H27" si="1">SUM(C21:F21)</f>
        <v>246</v>
      </c>
      <c r="I21" s="12">
        <f>IF(C4=TRUE,8,6)</f>
        <v>6</v>
      </c>
      <c r="J21" s="14">
        <v>2.2000000000000002</v>
      </c>
      <c r="K21" s="48"/>
      <c r="L21" s="41">
        <v>1</v>
      </c>
      <c r="M21" s="45">
        <f>G21*I21*J21</f>
        <v>3247.2000000000003</v>
      </c>
      <c r="N21" s="45">
        <f t="shared" ref="N21:T21" si="2">M21*$L21</f>
        <v>3247.2000000000003</v>
      </c>
      <c r="O21" s="45">
        <f t="shared" si="2"/>
        <v>3247.2000000000003</v>
      </c>
      <c r="P21" s="45">
        <f t="shared" si="2"/>
        <v>3247.2000000000003</v>
      </c>
      <c r="Q21" s="45">
        <f t="shared" si="2"/>
        <v>3247.2000000000003</v>
      </c>
      <c r="R21" s="45">
        <f t="shared" si="2"/>
        <v>3247.2000000000003</v>
      </c>
      <c r="S21" s="45">
        <f t="shared" si="2"/>
        <v>3247.2000000000003</v>
      </c>
      <c r="T21" s="45">
        <f t="shared" si="2"/>
        <v>3247.2000000000003</v>
      </c>
      <c r="U21" s="40"/>
      <c r="V21" s="40"/>
      <c r="W21" s="40"/>
      <c r="X21" s="40"/>
      <c r="Y21" s="40"/>
      <c r="Z21" s="40"/>
      <c r="AA21" s="40"/>
      <c r="AB21" s="46"/>
    </row>
    <row r="22" spans="1:28" ht="15.75" customHeight="1">
      <c r="A22" s="3" t="s">
        <v>143</v>
      </c>
      <c r="B22" s="13">
        <f>IF(C3,'CD 與傷害軸計算'!F4,'CD 與傷害軸計算'!F6)</f>
        <v>5</v>
      </c>
      <c r="C22" s="12">
        <v>400</v>
      </c>
      <c r="D22" s="12">
        <v>150</v>
      </c>
      <c r="E22" s="12">
        <f>IF(C$17,750,745)</f>
        <v>750</v>
      </c>
      <c r="F22" s="12"/>
      <c r="G22" s="12">
        <f t="shared" si="0"/>
        <v>1300</v>
      </c>
      <c r="H22" s="12">
        <f t="shared" si="1"/>
        <v>1300</v>
      </c>
      <c r="I22" s="12">
        <f>IF(C5=TRUE,10,9)</f>
        <v>10</v>
      </c>
      <c r="J22" s="14">
        <v>2.2000000000000002</v>
      </c>
      <c r="K22" s="48"/>
      <c r="L22" s="41">
        <v>0.4</v>
      </c>
      <c r="M22" s="45">
        <f>G22*I22*J22</f>
        <v>28600.000000000004</v>
      </c>
      <c r="N22" s="45">
        <f t="shared" ref="N22:Q22" si="3">M22*$L22</f>
        <v>11440.000000000002</v>
      </c>
      <c r="O22" s="45">
        <f t="shared" si="3"/>
        <v>4576.0000000000009</v>
      </c>
      <c r="P22" s="45">
        <f t="shared" si="3"/>
        <v>1830.4000000000005</v>
      </c>
      <c r="Q22" s="45">
        <f t="shared" si="3"/>
        <v>732.16000000000031</v>
      </c>
      <c r="R22" s="45"/>
      <c r="S22" s="45"/>
      <c r="T22" s="45"/>
      <c r="U22" s="40"/>
      <c r="V22" s="40"/>
      <c r="W22" s="40"/>
      <c r="X22" s="40"/>
      <c r="Y22" s="40"/>
      <c r="Z22" s="40"/>
      <c r="AA22" s="40"/>
      <c r="AB22" s="46"/>
    </row>
    <row r="23" spans="1:28" ht="15.75" customHeight="1">
      <c r="A23" s="5" t="s">
        <v>144</v>
      </c>
      <c r="B23" s="13">
        <f>IF(C6,'CD 與傷害軸計算'!F4,'CD 與傷害軸計算'!F6)</f>
        <v>5</v>
      </c>
      <c r="C23" s="12">
        <v>135</v>
      </c>
      <c r="D23" s="12"/>
      <c r="E23" s="12">
        <f>IF(C$17,211,210)</f>
        <v>211</v>
      </c>
      <c r="F23" s="12"/>
      <c r="G23" s="12">
        <f t="shared" si="0"/>
        <v>346</v>
      </c>
      <c r="H23" s="12">
        <f t="shared" si="1"/>
        <v>346</v>
      </c>
      <c r="I23" s="12">
        <f>IF(C7=TRUE,6,4)</f>
        <v>4</v>
      </c>
      <c r="J23" s="14">
        <v>2.2000000000000002</v>
      </c>
      <c r="K23" s="48"/>
      <c r="L23" s="41">
        <v>1</v>
      </c>
      <c r="M23" s="45">
        <f t="shared" ref="M23" si="4">G23*I23*J23</f>
        <v>3044.8</v>
      </c>
      <c r="N23" s="45">
        <f t="shared" ref="N23:Q23" si="5">M23*$L23</f>
        <v>3044.8</v>
      </c>
      <c r="O23" s="45">
        <f t="shared" si="5"/>
        <v>3044.8</v>
      </c>
      <c r="P23" s="45">
        <f t="shared" si="5"/>
        <v>3044.8</v>
      </c>
      <c r="Q23" s="45">
        <f t="shared" si="5"/>
        <v>3044.8</v>
      </c>
      <c r="R23" s="45"/>
      <c r="S23" s="45"/>
      <c r="T23" s="45"/>
      <c r="U23" s="40"/>
      <c r="V23" s="40"/>
      <c r="W23" s="40"/>
      <c r="X23" s="40"/>
      <c r="Y23" s="40"/>
      <c r="Z23" s="40"/>
      <c r="AA23" s="40"/>
      <c r="AB23" s="46"/>
    </row>
    <row r="24" spans="1:28" ht="15.75" customHeight="1">
      <c r="A24" s="5" t="s">
        <v>145</v>
      </c>
      <c r="B24" s="13">
        <f>IF(C6,'CD 與傷害軸計算'!F4,'CD 與傷害軸計算'!F6)</f>
        <v>5</v>
      </c>
      <c r="C24" s="12">
        <f>IF(C$17,375,370)</f>
        <v>375</v>
      </c>
      <c r="D24" s="12"/>
      <c r="E24" s="12">
        <f>IF(C$17,625,620)</f>
        <v>625</v>
      </c>
      <c r="F24" s="12"/>
      <c r="G24" s="12">
        <f t="shared" si="0"/>
        <v>1000</v>
      </c>
      <c r="H24" s="12">
        <f t="shared" si="1"/>
        <v>1000</v>
      </c>
      <c r="I24" s="12">
        <v>10</v>
      </c>
      <c r="J24" s="14">
        <v>2.2000000000000002</v>
      </c>
      <c r="K24" s="48"/>
      <c r="L24" s="41">
        <v>0.5</v>
      </c>
      <c r="M24" s="45">
        <f>G24*I24*J24*IF(C8=TRUE,(C16+0.2)/C16,1)</f>
        <v>22000</v>
      </c>
      <c r="N24" s="45">
        <f t="shared" ref="N24:P24" si="6">M24*$L24</f>
        <v>11000</v>
      </c>
      <c r="O24" s="45">
        <f t="shared" si="6"/>
        <v>5500</v>
      </c>
      <c r="P24" s="45">
        <f t="shared" si="6"/>
        <v>2750</v>
      </c>
      <c r="Q24" s="45"/>
      <c r="R24" s="45"/>
      <c r="S24" s="45"/>
      <c r="T24" s="45"/>
      <c r="U24" s="40"/>
      <c r="V24" s="40"/>
      <c r="W24" s="40"/>
      <c r="X24" s="40"/>
      <c r="Y24" s="40"/>
      <c r="Z24" s="40"/>
      <c r="AA24" s="40"/>
      <c r="AB24" s="46"/>
    </row>
    <row r="25" spans="1:28" ht="15.75" customHeight="1">
      <c r="A25" s="7" t="s">
        <v>146</v>
      </c>
      <c r="B25" s="13">
        <f>IF(C9,'CD 與傷害軸計算'!F5,'CD 與傷害軸計算'!F7)</f>
        <v>6.1099999999999985</v>
      </c>
      <c r="C25" s="12">
        <f>IF(C$17,216,215)</f>
        <v>216</v>
      </c>
      <c r="D25" s="12"/>
      <c r="E25" s="12"/>
      <c r="F25" s="12">
        <f>IF(C11=TRUE,85,0)+IF(C$17,66,65)</f>
        <v>151</v>
      </c>
      <c r="G25" s="12">
        <f t="shared" si="0"/>
        <v>216</v>
      </c>
      <c r="H25" s="12">
        <f t="shared" si="1"/>
        <v>367</v>
      </c>
      <c r="I25" s="12">
        <v>6</v>
      </c>
      <c r="J25" s="14">
        <v>2.2000000000000002</v>
      </c>
      <c r="K25" s="48"/>
      <c r="L25" s="41">
        <v>1</v>
      </c>
      <c r="M25" s="45">
        <f>IF(C18,H25,G25)*I25*J25</f>
        <v>4844.4000000000005</v>
      </c>
      <c r="N25" s="45">
        <f t="shared" ref="N25:T25" si="7">M25*$L25</f>
        <v>4844.4000000000005</v>
      </c>
      <c r="O25" s="45">
        <f t="shared" si="7"/>
        <v>4844.4000000000005</v>
      </c>
      <c r="P25" s="45">
        <f t="shared" si="7"/>
        <v>4844.4000000000005</v>
      </c>
      <c r="Q25" s="45">
        <f t="shared" si="7"/>
        <v>4844.4000000000005</v>
      </c>
      <c r="R25" s="45">
        <f t="shared" si="7"/>
        <v>4844.4000000000005</v>
      </c>
      <c r="S25" s="45">
        <f t="shared" si="7"/>
        <v>4844.4000000000005</v>
      </c>
      <c r="T25" s="45">
        <f t="shared" si="7"/>
        <v>4844.4000000000005</v>
      </c>
      <c r="U25" s="40"/>
      <c r="V25" s="40"/>
      <c r="W25" s="40"/>
      <c r="X25" s="40"/>
      <c r="Y25" s="40"/>
      <c r="Z25" s="40"/>
      <c r="AA25" s="40"/>
      <c r="AB25" s="46"/>
    </row>
    <row r="26" spans="1:28" ht="15.75" customHeight="1">
      <c r="A26" s="7" t="s">
        <v>147</v>
      </c>
      <c r="B26" s="13">
        <f>IF(C9,'CD 與傷害軸計算'!F5,'CD 與傷害軸計算'!F7)</f>
        <v>6.1099999999999985</v>
      </c>
      <c r="C26" s="12">
        <f>IF(C$17,281,280)</f>
        <v>281</v>
      </c>
      <c r="D26" s="12"/>
      <c r="E26" s="12"/>
      <c r="F26" s="12"/>
      <c r="G26" s="12">
        <f t="shared" si="0"/>
        <v>281</v>
      </c>
      <c r="H26" s="12">
        <f t="shared" si="1"/>
        <v>281</v>
      </c>
      <c r="I26" s="12">
        <v>6</v>
      </c>
      <c r="J26" s="14">
        <v>2.2000000000000002</v>
      </c>
      <c r="K26" s="48"/>
      <c r="L26" s="41">
        <v>1</v>
      </c>
      <c r="M26" s="45">
        <f>G26*I26*J26</f>
        <v>3709.2000000000003</v>
      </c>
      <c r="N26" s="45">
        <f t="shared" ref="N26:T26" si="8">M26*$L26</f>
        <v>3709.2000000000003</v>
      </c>
      <c r="O26" s="45">
        <f t="shared" si="8"/>
        <v>3709.2000000000003</v>
      </c>
      <c r="P26" s="45">
        <f t="shared" si="8"/>
        <v>3709.2000000000003</v>
      </c>
      <c r="Q26" s="45">
        <f t="shared" si="8"/>
        <v>3709.2000000000003</v>
      </c>
      <c r="R26" s="45">
        <f t="shared" si="8"/>
        <v>3709.2000000000003</v>
      </c>
      <c r="S26" s="45">
        <f t="shared" si="8"/>
        <v>3709.2000000000003</v>
      </c>
      <c r="T26" s="45">
        <f t="shared" si="8"/>
        <v>3709.2000000000003</v>
      </c>
      <c r="U26" s="40"/>
      <c r="V26" s="40"/>
      <c r="W26" s="40"/>
      <c r="X26" s="40"/>
      <c r="Y26" s="40"/>
      <c r="Z26" s="40"/>
      <c r="AA26" s="40"/>
      <c r="AB26" s="46"/>
    </row>
    <row r="27" spans="1:28" ht="15.75" customHeight="1">
      <c r="A27" s="15" t="s">
        <v>148</v>
      </c>
      <c r="B27" s="13">
        <f>'CD 與傷害軸計算'!F8</f>
        <v>11.799999999999997</v>
      </c>
      <c r="C27" s="12">
        <v>1265</v>
      </c>
      <c r="D27" s="12"/>
      <c r="E27" s="12"/>
      <c r="F27" s="12"/>
      <c r="G27" s="12">
        <f t="shared" si="0"/>
        <v>1265</v>
      </c>
      <c r="H27" s="12">
        <f t="shared" si="1"/>
        <v>1265</v>
      </c>
      <c r="I27" s="12">
        <v>7</v>
      </c>
      <c r="J27" s="14"/>
      <c r="K27" s="48">
        <v>1.6</v>
      </c>
      <c r="L27" s="41">
        <v>1</v>
      </c>
      <c r="M27" s="45">
        <f>G27*I27*K27</f>
        <v>14168</v>
      </c>
      <c r="N27" s="45">
        <f t="shared" ref="N27:R27" si="9">M27*$L27</f>
        <v>14168</v>
      </c>
      <c r="O27" s="45">
        <f t="shared" si="9"/>
        <v>14168</v>
      </c>
      <c r="P27" s="45">
        <f t="shared" si="9"/>
        <v>14168</v>
      </c>
      <c r="Q27" s="45">
        <f t="shared" si="9"/>
        <v>14168</v>
      </c>
      <c r="R27" s="45">
        <f t="shared" si="9"/>
        <v>14168</v>
      </c>
      <c r="S27" s="45"/>
      <c r="T27" s="45"/>
      <c r="U27" s="40"/>
      <c r="V27" s="40"/>
      <c r="W27" s="40"/>
      <c r="X27" s="40"/>
      <c r="Y27" s="40"/>
      <c r="Z27" s="40"/>
      <c r="AA27" s="40"/>
      <c r="AB27" s="46"/>
    </row>
    <row r="28" spans="1:28" ht="15.75" customHeight="1">
      <c r="A28" s="15" t="s">
        <v>149</v>
      </c>
      <c r="B28" s="13">
        <f>'CD 與傷害軸計算'!F9</f>
        <v>30.599999999999994</v>
      </c>
      <c r="C28" s="12">
        <v>1705</v>
      </c>
      <c r="D28" s="12"/>
      <c r="E28" s="12"/>
      <c r="F28" s="12"/>
      <c r="G28" s="12">
        <f t="shared" ref="G28" si="10">SUM(C28:E28)</f>
        <v>1705</v>
      </c>
      <c r="H28" s="12">
        <f t="shared" ref="H28" si="11">SUM(C28:F28)</f>
        <v>1705</v>
      </c>
      <c r="I28" s="12">
        <v>8</v>
      </c>
      <c r="J28" s="14"/>
      <c r="K28" s="48">
        <v>1.6</v>
      </c>
      <c r="L28" s="41">
        <v>1</v>
      </c>
      <c r="M28" s="45">
        <f>G28*I28*K28</f>
        <v>21824</v>
      </c>
      <c r="N28" s="45">
        <f t="shared" ref="N28" si="12">M28*$L28</f>
        <v>21824</v>
      </c>
      <c r="O28" s="45">
        <f t="shared" ref="O28" si="13">N28*$L28</f>
        <v>21824</v>
      </c>
      <c r="P28" s="45">
        <f t="shared" ref="P28" si="14">O28*$L28</f>
        <v>21824</v>
      </c>
      <c r="Q28" s="45"/>
      <c r="R28" s="45"/>
      <c r="S28" s="45"/>
      <c r="T28" s="45"/>
      <c r="U28" s="40"/>
      <c r="V28" s="40"/>
      <c r="W28" s="40"/>
      <c r="X28" s="40"/>
      <c r="Y28" s="40"/>
      <c r="Z28" s="40"/>
      <c r="AA28" s="40"/>
      <c r="AB28" s="46"/>
    </row>
    <row r="29" spans="1:28" ht="15.75" customHeight="1">
      <c r="A29" s="15" t="s">
        <v>150</v>
      </c>
      <c r="B29" s="36">
        <f>'CD 與傷害軸計算'!F9</f>
        <v>30.599999999999994</v>
      </c>
      <c r="C29" s="37">
        <v>1320</v>
      </c>
      <c r="D29" s="37"/>
      <c r="E29" s="37"/>
      <c r="F29" s="37"/>
      <c r="G29" s="37">
        <f t="shared" ref="G29" si="15">SUM(C29:E29)</f>
        <v>1320</v>
      </c>
      <c r="H29" s="37">
        <f t="shared" ref="H29" si="16">SUM(C29:F29)</f>
        <v>1320</v>
      </c>
      <c r="I29" s="37">
        <v>7</v>
      </c>
      <c r="J29" s="38"/>
      <c r="K29" s="49">
        <v>1.6</v>
      </c>
      <c r="L29" s="42">
        <v>1</v>
      </c>
      <c r="M29" s="45">
        <f>G29*I29*K29</f>
        <v>14784</v>
      </c>
      <c r="N29" s="45">
        <f t="shared" ref="N29:AB29" si="17">M29*$L29</f>
        <v>14784</v>
      </c>
      <c r="O29" s="45">
        <f t="shared" si="17"/>
        <v>14784</v>
      </c>
      <c r="P29" s="45">
        <f t="shared" si="17"/>
        <v>14784</v>
      </c>
      <c r="Q29" s="45">
        <f t="shared" si="17"/>
        <v>14784</v>
      </c>
      <c r="R29" s="45">
        <f t="shared" si="17"/>
        <v>14784</v>
      </c>
      <c r="S29" s="45">
        <f t="shared" si="17"/>
        <v>14784</v>
      </c>
      <c r="T29" s="45">
        <f t="shared" si="17"/>
        <v>14784</v>
      </c>
      <c r="U29" s="45">
        <f t="shared" si="17"/>
        <v>14784</v>
      </c>
      <c r="V29" s="45">
        <f t="shared" si="17"/>
        <v>14784</v>
      </c>
      <c r="W29" s="45">
        <f t="shared" si="17"/>
        <v>14784</v>
      </c>
      <c r="X29" s="45">
        <f t="shared" si="17"/>
        <v>14784</v>
      </c>
      <c r="Y29" s="45">
        <f t="shared" si="17"/>
        <v>14784</v>
      </c>
      <c r="Z29" s="45">
        <f t="shared" si="17"/>
        <v>14784</v>
      </c>
      <c r="AA29" s="45">
        <f t="shared" si="17"/>
        <v>14784</v>
      </c>
      <c r="AB29" s="45">
        <f t="shared" si="17"/>
        <v>14784</v>
      </c>
    </row>
    <row r="30" spans="1:28" ht="15.75" customHeight="1">
      <c r="A30" s="34" t="s">
        <v>152</v>
      </c>
      <c r="B30" s="47">
        <f>B25</f>
        <v>6.1099999999999985</v>
      </c>
      <c r="C30" s="29">
        <f>IF(C$17,151,150)</f>
        <v>151</v>
      </c>
      <c r="D30" s="29"/>
      <c r="E30" s="29"/>
      <c r="F30" s="29"/>
      <c r="G30" s="37">
        <f t="shared" ref="G30:G31" si="18">SUM(C30:E30)</f>
        <v>151</v>
      </c>
      <c r="H30" s="37">
        <f t="shared" ref="H30:H31" si="19">SUM(C30:F30)</f>
        <v>151</v>
      </c>
      <c r="I30" s="29">
        <v>1</v>
      </c>
      <c r="J30" s="39">
        <v>2.2000000000000002</v>
      </c>
      <c r="K30" s="43"/>
      <c r="L30" s="43">
        <v>1</v>
      </c>
      <c r="M30" s="45">
        <f>G30*I30*J30</f>
        <v>332.20000000000005</v>
      </c>
      <c r="N30" s="45">
        <f t="shared" ref="N30:N31" si="20">M30*$L30</f>
        <v>332.20000000000005</v>
      </c>
      <c r="O30" s="45">
        <f t="shared" ref="O30:O31" si="21">N30*$L30</f>
        <v>332.20000000000005</v>
      </c>
      <c r="P30" s="45">
        <f t="shared" ref="P30:P31" si="22">O30*$L30</f>
        <v>332.20000000000005</v>
      </c>
      <c r="Q30" s="45">
        <f t="shared" ref="Q30:Q31" si="23">P30*$L30</f>
        <v>332.20000000000005</v>
      </c>
      <c r="R30" s="45">
        <f t="shared" ref="R30:R31" si="24">Q30*$L30</f>
        <v>332.20000000000005</v>
      </c>
      <c r="S30" s="45">
        <f t="shared" ref="S30:S31" si="25">R30*$L30</f>
        <v>332.20000000000005</v>
      </c>
      <c r="T30" s="45">
        <f t="shared" ref="T30:T31" si="26">S30*$L30</f>
        <v>332.20000000000005</v>
      </c>
      <c r="U30" s="45">
        <f t="shared" ref="U30:U31" si="27">T30*$L30</f>
        <v>332.20000000000005</v>
      </c>
      <c r="V30" s="45">
        <f t="shared" ref="V30" si="28">U30*$L30</f>
        <v>332.20000000000005</v>
      </c>
      <c r="W30" s="45">
        <f t="shared" ref="W30" si="29">V30*$L30</f>
        <v>332.20000000000005</v>
      </c>
      <c r="X30" s="45">
        <f t="shared" ref="X30" si="30">W30*$L30</f>
        <v>332.20000000000005</v>
      </c>
      <c r="Y30" s="45">
        <f t="shared" ref="Y30" si="31">X30*$L30</f>
        <v>332.20000000000005</v>
      </c>
      <c r="Z30" s="45">
        <f t="shared" ref="Z30" si="32">Y30*$L30</f>
        <v>332.20000000000005</v>
      </c>
      <c r="AA30" s="45">
        <f t="shared" ref="AA30" si="33">Z30*$L30</f>
        <v>332.20000000000005</v>
      </c>
      <c r="AB30" s="45">
        <f t="shared" ref="AB30" si="34">AA30*$L30</f>
        <v>332.20000000000005</v>
      </c>
    </row>
    <row r="31" spans="1:28" ht="15.75" customHeight="1">
      <c r="A31" s="34" t="s">
        <v>151</v>
      </c>
      <c r="B31" s="47">
        <f>B27</f>
        <v>11.799999999999997</v>
      </c>
      <c r="C31" s="29">
        <v>330</v>
      </c>
      <c r="D31" s="29"/>
      <c r="E31" s="29"/>
      <c r="F31" s="29"/>
      <c r="G31" s="29">
        <f t="shared" si="18"/>
        <v>330</v>
      </c>
      <c r="H31" s="29">
        <f t="shared" si="19"/>
        <v>330</v>
      </c>
      <c r="I31" s="29">
        <v>3</v>
      </c>
      <c r="J31" s="29"/>
      <c r="K31" s="39">
        <v>1.6</v>
      </c>
      <c r="L31" s="43">
        <v>1</v>
      </c>
      <c r="M31" s="45">
        <f t="shared" ref="M31" si="35">G31*I31*K31</f>
        <v>1584</v>
      </c>
      <c r="N31" s="45">
        <f t="shared" si="20"/>
        <v>1584</v>
      </c>
      <c r="O31" s="45">
        <f t="shared" si="21"/>
        <v>1584</v>
      </c>
      <c r="P31" s="45">
        <f t="shared" si="22"/>
        <v>1584</v>
      </c>
      <c r="Q31" s="45">
        <f t="shared" si="23"/>
        <v>1584</v>
      </c>
      <c r="R31" s="45">
        <f t="shared" si="24"/>
        <v>1584</v>
      </c>
      <c r="S31" s="45">
        <f t="shared" si="25"/>
        <v>1584</v>
      </c>
      <c r="T31" s="45">
        <f t="shared" si="26"/>
        <v>1584</v>
      </c>
      <c r="U31" s="45">
        <f t="shared" si="27"/>
        <v>1584</v>
      </c>
      <c r="V31" s="45"/>
      <c r="W31" s="45"/>
      <c r="X31" s="45"/>
      <c r="Y31" s="45"/>
      <c r="Z31" s="45"/>
      <c r="AA31" s="45"/>
      <c r="AB31" s="45"/>
    </row>
    <row r="32" spans="1:28" ht="15.75" customHeight="1">
      <c r="A32" s="50"/>
      <c r="B32" s="47"/>
      <c r="C32" s="29"/>
      <c r="D32" s="29"/>
      <c r="E32" s="29"/>
      <c r="F32" s="29"/>
      <c r="G32" s="29"/>
      <c r="H32" s="29"/>
      <c r="I32" s="29"/>
      <c r="J32" s="39"/>
      <c r="K32" s="39"/>
      <c r="L32" s="29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</row>
    <row r="33" spans="1:27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</sheetData>
  <mergeCells count="5">
    <mergeCell ref="A2:C2"/>
    <mergeCell ref="A12:B12"/>
    <mergeCell ref="A14:B14"/>
    <mergeCell ref="A15:B15"/>
    <mergeCell ref="A16:B16"/>
  </mergeCells>
  <phoneticPr fontId="4" type="noConversion"/>
  <dataValidations count="4">
    <dataValidation type="list" allowBlank="1" showErrorMessage="1" sqref="C15" xr:uid="{00000000-0002-0000-0000-000000000000}">
      <formula1>"3%,4%,5%,6%"</formula1>
    </dataValidation>
    <dataValidation type="list" allowBlank="1" showErrorMessage="1" sqref="C14" xr:uid="{00000000-0002-0000-0000-000001000000}">
      <formula1>"0,1,2,3,4,5,6,7,8,9"</formula1>
    </dataValidation>
    <dataValidation type="list" allowBlank="1" showErrorMessage="1" sqref="C17:C18" xr:uid="{00000000-0002-0000-0000-000002000000}">
      <formula1>"TRUE,FALSE"</formula1>
    </dataValidation>
    <dataValidation type="list" allowBlank="1" showInputMessage="1" showErrorMessage="1" sqref="C3:C11" xr:uid="{1EB3E874-92D2-45B1-A60A-C4ED9311ABE9}">
      <formula1>"TRUE,FALSE"</formula1>
    </dataValidation>
  </dataValidation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abSelected="1" topLeftCell="A3" workbookViewId="0">
      <selection activeCell="F37" sqref="F37"/>
    </sheetView>
  </sheetViews>
  <sheetFormatPr defaultColWidth="11.25" defaultRowHeight="15" customHeight="1"/>
  <cols>
    <col min="1" max="2" width="14.125" style="30" bestFit="1" customWidth="1"/>
    <col min="3" max="8" width="7.375" style="30" bestFit="1" customWidth="1"/>
    <col min="9" max="18" width="8.5" style="30" bestFit="1" customWidth="1"/>
    <col min="19" max="21" width="6.75" style="30" customWidth="1"/>
    <col min="22" max="22" width="8.5" style="30" bestFit="1" customWidth="1"/>
    <col min="23" max="23" width="12.5" style="30" bestFit="1" customWidth="1"/>
    <col min="24" max="24" width="8.5" style="30" bestFit="1" customWidth="1"/>
    <col min="25" max="25" width="9.625" style="30" bestFit="1" customWidth="1"/>
    <col min="26" max="27" width="6.75" style="30" customWidth="1"/>
    <col min="28" max="16384" width="11.25" style="30"/>
  </cols>
  <sheetData>
    <row r="1" spans="1:23" ht="15.75" customHeight="1"/>
    <row r="2" spans="1:23" ht="15.75" customHeight="1">
      <c r="A2" s="34"/>
      <c r="B2" s="98" t="s">
        <v>34</v>
      </c>
      <c r="C2" s="31" t="s">
        <v>19</v>
      </c>
      <c r="D2" s="31" t="s">
        <v>20</v>
      </c>
      <c r="E2" s="31" t="s">
        <v>21</v>
      </c>
      <c r="F2" s="31" t="s">
        <v>22</v>
      </c>
      <c r="G2" s="31" t="s">
        <v>23</v>
      </c>
      <c r="H2" s="31" t="s">
        <v>24</v>
      </c>
      <c r="I2" s="31" t="s">
        <v>25</v>
      </c>
      <c r="J2" s="31" t="s">
        <v>26</v>
      </c>
    </row>
    <row r="3" spans="1:23" ht="15.75" customHeight="1">
      <c r="A3" s="34" t="s">
        <v>115</v>
      </c>
      <c r="B3" s="98" t="s">
        <v>27</v>
      </c>
      <c r="C3" s="96">
        <v>510</v>
      </c>
      <c r="D3" s="96">
        <v>510</v>
      </c>
      <c r="E3" s="96">
        <v>510</v>
      </c>
      <c r="F3" s="96">
        <v>510</v>
      </c>
      <c r="G3" s="96">
        <v>510</v>
      </c>
      <c r="H3" s="96">
        <v>510</v>
      </c>
      <c r="I3" s="96">
        <v>510</v>
      </c>
      <c r="J3" s="96">
        <v>510</v>
      </c>
    </row>
    <row r="4" spans="1:23" ht="15.75" customHeight="1">
      <c r="A4" s="34" t="s">
        <v>72</v>
      </c>
      <c r="B4" s="98" t="s">
        <v>28</v>
      </c>
      <c r="C4" s="96">
        <v>480</v>
      </c>
      <c r="D4" s="96">
        <v>360</v>
      </c>
      <c r="E4" s="96">
        <v>360</v>
      </c>
      <c r="F4" s="96">
        <v>360</v>
      </c>
      <c r="G4" s="96">
        <v>360</v>
      </c>
      <c r="H4" s="96"/>
      <c r="I4" s="96"/>
      <c r="J4" s="96"/>
    </row>
    <row r="5" spans="1:23" ht="15.75" customHeight="1">
      <c r="A5" s="34" t="s">
        <v>116</v>
      </c>
      <c r="B5" s="98" t="s">
        <v>29</v>
      </c>
      <c r="C5" s="96">
        <v>700</v>
      </c>
      <c r="D5" s="96">
        <v>700</v>
      </c>
      <c r="E5" s="96">
        <v>700</v>
      </c>
      <c r="F5" s="96">
        <v>700</v>
      </c>
      <c r="G5" s="96">
        <v>700</v>
      </c>
      <c r="H5" s="96"/>
      <c r="I5" s="96"/>
      <c r="J5" s="96"/>
    </row>
    <row r="6" spans="1:23" ht="15.75" customHeight="1">
      <c r="A6" s="34" t="s">
        <v>73</v>
      </c>
      <c r="B6" s="98" t="s">
        <v>30</v>
      </c>
      <c r="C6" s="96">
        <v>960</v>
      </c>
      <c r="D6" s="96">
        <v>480</v>
      </c>
      <c r="E6" s="96">
        <v>480</v>
      </c>
      <c r="F6" s="96">
        <v>480</v>
      </c>
      <c r="G6" s="96"/>
      <c r="H6" s="96"/>
      <c r="I6" s="96"/>
      <c r="J6" s="96"/>
    </row>
    <row r="7" spans="1:23" ht="15.75" customHeight="1">
      <c r="A7" s="34" t="s">
        <v>74</v>
      </c>
      <c r="B7" s="98" t="s">
        <v>31</v>
      </c>
      <c r="C7" s="96">
        <v>360</v>
      </c>
      <c r="D7" s="96">
        <v>360</v>
      </c>
      <c r="E7" s="96">
        <v>360</v>
      </c>
      <c r="F7" s="96">
        <v>360</v>
      </c>
      <c r="G7" s="96">
        <v>360</v>
      </c>
      <c r="H7" s="96">
        <v>360</v>
      </c>
      <c r="I7" s="96">
        <v>360</v>
      </c>
      <c r="J7" s="96">
        <v>360</v>
      </c>
    </row>
    <row r="8" spans="1:23" ht="15.75" customHeight="1">
      <c r="A8" s="34" t="s">
        <v>117</v>
      </c>
      <c r="B8" s="98" t="s">
        <v>32</v>
      </c>
      <c r="C8" s="96">
        <v>450</v>
      </c>
      <c r="D8" s="96">
        <v>450</v>
      </c>
      <c r="E8" s="96">
        <v>450</v>
      </c>
      <c r="F8" s="96">
        <v>450</v>
      </c>
      <c r="G8" s="96">
        <v>450</v>
      </c>
      <c r="H8" s="96">
        <v>450</v>
      </c>
      <c r="I8" s="96">
        <v>450</v>
      </c>
      <c r="J8" s="96"/>
    </row>
    <row r="9" spans="1:23" ht="15.75" customHeight="1">
      <c r="A9" s="34" t="s">
        <v>75</v>
      </c>
      <c r="B9" s="98" t="s">
        <v>33</v>
      </c>
      <c r="C9" s="96">
        <v>80</v>
      </c>
      <c r="D9" s="96">
        <v>120</v>
      </c>
      <c r="E9" s="96">
        <v>300</v>
      </c>
      <c r="F9" s="96">
        <v>300</v>
      </c>
      <c r="G9" s="96">
        <v>480</v>
      </c>
      <c r="H9" s="96">
        <v>400</v>
      </c>
      <c r="I9" s="96"/>
      <c r="J9" s="96"/>
    </row>
    <row r="10" spans="1:23" ht="15.75" customHeight="1"/>
    <row r="11" spans="1:23" ht="15.75" customHeight="1">
      <c r="A11" s="34"/>
      <c r="B11" s="101" t="s">
        <v>35</v>
      </c>
      <c r="C11" s="33" t="s">
        <v>19</v>
      </c>
      <c r="D11" s="33" t="s">
        <v>20</v>
      </c>
      <c r="E11" s="33" t="s">
        <v>21</v>
      </c>
      <c r="F11" s="33" t="s">
        <v>22</v>
      </c>
      <c r="G11" s="33" t="s">
        <v>23</v>
      </c>
      <c r="H11" s="33" t="s">
        <v>24</v>
      </c>
      <c r="I11" s="33" t="s">
        <v>25</v>
      </c>
      <c r="J11" s="33" t="s">
        <v>26</v>
      </c>
      <c r="K11" s="33" t="s">
        <v>63</v>
      </c>
      <c r="L11" s="33" t="s">
        <v>64</v>
      </c>
      <c r="M11" s="33" t="s">
        <v>65</v>
      </c>
      <c r="N11" s="33" t="s">
        <v>66</v>
      </c>
      <c r="O11" s="33" t="s">
        <v>67</v>
      </c>
      <c r="P11" s="33" t="s">
        <v>68</v>
      </c>
      <c r="Q11" s="33" t="s">
        <v>69</v>
      </c>
      <c r="R11" s="33" t="s">
        <v>70</v>
      </c>
    </row>
    <row r="12" spans="1:23" ht="15.75" customHeight="1">
      <c r="A12" s="34" t="s">
        <v>115</v>
      </c>
      <c r="B12" s="34" t="s">
        <v>27</v>
      </c>
      <c r="C12" s="34">
        <v>0</v>
      </c>
      <c r="D12" s="34">
        <f>SUM($C3:C3)</f>
        <v>510</v>
      </c>
      <c r="E12" s="34">
        <f>SUM($C3:D3)</f>
        <v>1020</v>
      </c>
      <c r="F12" s="34">
        <f>SUM($C3:E3)</f>
        <v>1530</v>
      </c>
      <c r="G12" s="34">
        <f>SUM($C3:F3)</f>
        <v>2040</v>
      </c>
      <c r="H12" s="34">
        <f>SUM($C3:G3)</f>
        <v>2550</v>
      </c>
      <c r="I12" s="34">
        <f>SUM($C3:H3)</f>
        <v>3060</v>
      </c>
      <c r="J12" s="34">
        <f>SUM($C3:I3)</f>
        <v>3570</v>
      </c>
      <c r="K12" s="34"/>
      <c r="L12" s="34"/>
      <c r="M12" s="34"/>
      <c r="N12" s="34"/>
      <c r="O12" s="34"/>
      <c r="P12" s="34"/>
      <c r="Q12" s="34"/>
      <c r="R12" s="34"/>
      <c r="T12" s="30">
        <v>3</v>
      </c>
      <c r="U12" s="34">
        <v>1200</v>
      </c>
      <c r="V12" s="34">
        <v>44616</v>
      </c>
    </row>
    <row r="13" spans="1:23" ht="15.75" customHeight="1">
      <c r="A13" s="34" t="s">
        <v>72</v>
      </c>
      <c r="B13" s="34" t="s">
        <v>28</v>
      </c>
      <c r="C13" s="34">
        <v>480</v>
      </c>
      <c r="D13" s="34">
        <f>SUM($C4:D4)</f>
        <v>840</v>
      </c>
      <c r="E13" s="34">
        <f>SUM($C4:E4)</f>
        <v>1200</v>
      </c>
      <c r="F13" s="34">
        <f>SUM($C4:F4)</f>
        <v>1560</v>
      </c>
      <c r="G13" s="34">
        <f>SUM($C4:G4)</f>
        <v>1920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T13" s="30">
        <v>3</v>
      </c>
      <c r="U13" s="34">
        <v>1440</v>
      </c>
      <c r="V13" s="34">
        <v>38500</v>
      </c>
    </row>
    <row r="14" spans="1:23" ht="15.75" customHeight="1">
      <c r="A14" s="34" t="s">
        <v>116</v>
      </c>
      <c r="B14" s="34" t="s">
        <v>29</v>
      </c>
      <c r="C14" s="34">
        <v>0</v>
      </c>
      <c r="D14" s="34">
        <f>SUM($C5:C5)</f>
        <v>700</v>
      </c>
      <c r="E14" s="34">
        <f>SUM($C5:D5)</f>
        <v>1400</v>
      </c>
      <c r="F14" s="34">
        <f>SUM($C5:E5)</f>
        <v>2100</v>
      </c>
      <c r="G14" s="34">
        <f>SUM($C5:F5)</f>
        <v>2800</v>
      </c>
      <c r="H14" s="34">
        <f>SUM($C5:G5)</f>
        <v>3500</v>
      </c>
      <c r="I14" s="34"/>
      <c r="J14" s="34"/>
      <c r="K14" s="34"/>
      <c r="L14" s="34"/>
      <c r="M14" s="34"/>
      <c r="N14" s="34"/>
      <c r="O14" s="34"/>
      <c r="P14" s="34"/>
      <c r="Q14" s="34"/>
      <c r="R14" s="34"/>
      <c r="T14" s="30">
        <v>8</v>
      </c>
      <c r="U14" s="34">
        <v>3150</v>
      </c>
      <c r="V14" s="57">
        <v>38755</v>
      </c>
    </row>
    <row r="15" spans="1:23" ht="15.75" customHeight="1">
      <c r="A15" s="34" t="s">
        <v>73</v>
      </c>
      <c r="B15" s="34" t="s">
        <v>30</v>
      </c>
      <c r="C15" s="34">
        <v>0</v>
      </c>
      <c r="D15" s="34">
        <f>SUM($C6:C6)</f>
        <v>960</v>
      </c>
      <c r="E15" s="34">
        <f>SUM($C6:D6)</f>
        <v>1440</v>
      </c>
      <c r="F15" s="34">
        <f>SUM($C6:E6)</f>
        <v>1920</v>
      </c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U15" s="30">
        <f>SUM(U12:U14)</f>
        <v>5790</v>
      </c>
      <c r="V15" s="30">
        <f>SUM(V12:V14)</f>
        <v>121871</v>
      </c>
      <c r="W15" s="30">
        <f>V15/U15</f>
        <v>21.048531951640761</v>
      </c>
    </row>
    <row r="16" spans="1:23" ht="15.75" customHeight="1">
      <c r="A16" s="34" t="s">
        <v>74</v>
      </c>
      <c r="B16" s="34" t="s">
        <v>31</v>
      </c>
      <c r="C16" s="34">
        <v>0</v>
      </c>
      <c r="D16" s="34">
        <f>SUM($C7:C7)</f>
        <v>360</v>
      </c>
      <c r="E16" s="34">
        <f>SUM($C7:D7)</f>
        <v>720</v>
      </c>
      <c r="F16" s="34">
        <f>SUM($C7:E7)</f>
        <v>1080</v>
      </c>
      <c r="G16" s="34">
        <f>SUM($C7:F7)</f>
        <v>1440</v>
      </c>
      <c r="H16" s="34">
        <f>SUM($C7:G7)</f>
        <v>1800</v>
      </c>
      <c r="I16" s="34">
        <f>SUM($C7:H7)</f>
        <v>2160</v>
      </c>
      <c r="J16" s="34">
        <f>SUM($C7:I7)</f>
        <v>2520</v>
      </c>
      <c r="K16" s="34"/>
      <c r="L16" s="34"/>
      <c r="M16" s="34"/>
      <c r="N16" s="34"/>
      <c r="O16" s="34"/>
      <c r="P16" s="34"/>
      <c r="Q16" s="34"/>
      <c r="R16" s="34"/>
    </row>
    <row r="17" spans="1:23" ht="15.75" customHeight="1">
      <c r="A17" s="34" t="s">
        <v>117</v>
      </c>
      <c r="B17" s="34" t="s">
        <v>32</v>
      </c>
      <c r="C17" s="34">
        <v>450</v>
      </c>
      <c r="D17" s="34">
        <f t="shared" ref="D17:I17" si="0">SUM($C8:D8)</f>
        <v>900</v>
      </c>
      <c r="E17" s="34">
        <f t="shared" si="0"/>
        <v>1350</v>
      </c>
      <c r="F17" s="34">
        <f t="shared" si="0"/>
        <v>1800</v>
      </c>
      <c r="G17" s="34">
        <f t="shared" si="0"/>
        <v>2250</v>
      </c>
      <c r="H17" s="34">
        <f t="shared" si="0"/>
        <v>2700</v>
      </c>
      <c r="I17" s="34">
        <f t="shared" si="0"/>
        <v>3150</v>
      </c>
      <c r="J17" s="34"/>
      <c r="K17" s="34"/>
      <c r="L17" s="34"/>
      <c r="M17" s="34"/>
      <c r="N17" s="34"/>
      <c r="O17" s="34"/>
      <c r="P17" s="34"/>
      <c r="Q17" s="34"/>
      <c r="R17" s="34"/>
    </row>
    <row r="18" spans="1:23" ht="15.75" customHeight="1">
      <c r="A18" s="34" t="s">
        <v>75</v>
      </c>
      <c r="B18" s="34" t="s">
        <v>33</v>
      </c>
      <c r="C18" s="34">
        <f>SUM($C9:C9)</f>
        <v>80</v>
      </c>
      <c r="D18" s="34">
        <f>SUM($C9:D9)</f>
        <v>200</v>
      </c>
      <c r="E18" s="34">
        <f>SUM($C9:E9)</f>
        <v>500</v>
      </c>
      <c r="F18" s="34">
        <f>SUM($C9:F9)</f>
        <v>800</v>
      </c>
      <c r="G18" s="34">
        <f>SUM($C9:G9)</f>
        <v>1280</v>
      </c>
      <c r="H18" s="34">
        <f>SUM($C9:H9)</f>
        <v>1680</v>
      </c>
      <c r="I18" s="34"/>
      <c r="J18" s="34"/>
      <c r="K18" s="34"/>
      <c r="L18" s="34"/>
      <c r="M18" s="34"/>
      <c r="N18" s="34"/>
      <c r="O18" s="34"/>
      <c r="P18" s="34"/>
      <c r="Q18" s="34"/>
      <c r="R18" s="34"/>
      <c r="T18" s="30">
        <v>4</v>
      </c>
      <c r="U18" s="34">
        <v>1560</v>
      </c>
      <c r="V18" s="34">
        <v>46446.400000000009</v>
      </c>
    </row>
    <row r="19" spans="1:23" ht="15.75" customHeight="1">
      <c r="A19" s="34" t="s">
        <v>118</v>
      </c>
      <c r="B19" s="34" t="s">
        <v>61</v>
      </c>
      <c r="C19" s="34">
        <v>1000</v>
      </c>
      <c r="D19" s="34">
        <v>1450</v>
      </c>
      <c r="E19" s="34">
        <v>1900</v>
      </c>
      <c r="F19" s="34">
        <v>2350</v>
      </c>
      <c r="G19" s="34">
        <v>2800</v>
      </c>
      <c r="H19" s="34">
        <v>3250</v>
      </c>
      <c r="I19" s="34">
        <v>3700</v>
      </c>
      <c r="J19" s="34">
        <v>4150</v>
      </c>
      <c r="K19" s="34"/>
      <c r="L19" s="34"/>
      <c r="M19" s="34"/>
      <c r="N19" s="34"/>
      <c r="O19" s="34"/>
      <c r="P19" s="34"/>
      <c r="Q19" s="34"/>
      <c r="R19" s="34"/>
      <c r="T19" s="30">
        <v>3</v>
      </c>
      <c r="U19" s="34">
        <v>1440</v>
      </c>
      <c r="V19" s="34">
        <v>38500</v>
      </c>
    </row>
    <row r="20" spans="1:23" ht="15.75" customHeight="1">
      <c r="A20" s="34" t="s">
        <v>119</v>
      </c>
      <c r="B20" s="34" t="s">
        <v>59</v>
      </c>
      <c r="C20" s="34">
        <v>1200</v>
      </c>
      <c r="D20" s="34">
        <v>1440</v>
      </c>
      <c r="E20" s="34">
        <v>1680</v>
      </c>
      <c r="F20" s="58">
        <v>1920</v>
      </c>
      <c r="G20" s="34">
        <v>2160</v>
      </c>
      <c r="H20" s="34">
        <v>2400</v>
      </c>
      <c r="I20" s="34">
        <v>2640</v>
      </c>
      <c r="J20" s="34">
        <v>2880</v>
      </c>
      <c r="K20" s="34">
        <v>3120</v>
      </c>
      <c r="L20" s="34">
        <v>3360</v>
      </c>
      <c r="M20" s="34">
        <v>3600</v>
      </c>
      <c r="N20" s="34">
        <v>3840</v>
      </c>
      <c r="O20" s="34">
        <v>4080</v>
      </c>
      <c r="P20" s="34">
        <v>4320</v>
      </c>
      <c r="Q20" s="34">
        <v>4560</v>
      </c>
      <c r="R20" s="34">
        <v>4800</v>
      </c>
      <c r="T20" s="30">
        <v>7</v>
      </c>
      <c r="U20" s="34">
        <v>2700</v>
      </c>
      <c r="V20" s="57">
        <v>33910.800000000003</v>
      </c>
    </row>
    <row r="21" spans="1:23" ht="15.75" customHeight="1">
      <c r="A21" s="34" t="s">
        <v>117</v>
      </c>
      <c r="B21" s="34" t="s">
        <v>58</v>
      </c>
      <c r="C21" s="34">
        <v>660</v>
      </c>
      <c r="D21" s="34">
        <v>1890</v>
      </c>
      <c r="E21" s="34">
        <v>2450</v>
      </c>
      <c r="F21" s="58">
        <v>3300</v>
      </c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5"/>
      <c r="R21" s="34"/>
      <c r="U21" s="30">
        <f>SUM(U18:U20)</f>
        <v>5700</v>
      </c>
      <c r="V21" s="30">
        <f>SUM(V18:V20)</f>
        <v>118857.20000000001</v>
      </c>
      <c r="W21" s="30">
        <f>V21/U21</f>
        <v>20.852140350877196</v>
      </c>
    </row>
    <row r="22" spans="1:23" ht="15.75" customHeight="1">
      <c r="C22" s="30" t="s">
        <v>77</v>
      </c>
      <c r="D22" s="30" t="s">
        <v>77</v>
      </c>
      <c r="E22" s="30" t="s">
        <v>77</v>
      </c>
      <c r="F22" s="30" t="s">
        <v>77</v>
      </c>
    </row>
    <row r="23" spans="1:23" ht="15.75" customHeight="1">
      <c r="C23" s="59">
        <v>0.05</v>
      </c>
      <c r="D23" s="59">
        <v>0.1</v>
      </c>
      <c r="E23" s="59">
        <v>0.15</v>
      </c>
      <c r="F23" s="59">
        <v>0.2</v>
      </c>
      <c r="G23" s="59">
        <v>0.2</v>
      </c>
      <c r="H23" s="59">
        <v>0.2</v>
      </c>
      <c r="I23" s="59">
        <v>0.2</v>
      </c>
      <c r="J23" s="30" t="s">
        <v>78</v>
      </c>
      <c r="K23" s="109" t="s">
        <v>121</v>
      </c>
      <c r="L23" s="109"/>
      <c r="Q23" s="32"/>
    </row>
    <row r="24" spans="1:23" ht="15.75" customHeight="1">
      <c r="A24" s="34" t="s">
        <v>120</v>
      </c>
      <c r="B24" s="34" t="s">
        <v>62</v>
      </c>
      <c r="C24" s="34">
        <v>1000</v>
      </c>
      <c r="D24" s="34">
        <v>1500</v>
      </c>
      <c r="E24" s="34">
        <v>2000</v>
      </c>
      <c r="F24" s="34">
        <v>2500</v>
      </c>
      <c r="G24" s="34">
        <v>3000</v>
      </c>
      <c r="H24" s="34">
        <v>3500</v>
      </c>
      <c r="I24" s="34">
        <v>4000</v>
      </c>
      <c r="J24" s="34">
        <v>4500</v>
      </c>
      <c r="K24" s="34">
        <v>5000</v>
      </c>
      <c r="Q24" s="32"/>
    </row>
    <row r="25" spans="1:23" ht="15.75" customHeight="1">
      <c r="Q25" s="32"/>
    </row>
    <row r="26" spans="1:23" ht="15.75" customHeight="1">
      <c r="Q26" s="32"/>
    </row>
    <row r="27" spans="1:23" ht="15.75" customHeight="1">
      <c r="A27" s="34"/>
      <c r="B27" s="98" t="s">
        <v>36</v>
      </c>
      <c r="C27" s="33" t="s">
        <v>19</v>
      </c>
      <c r="D27" s="33" t="s">
        <v>20</v>
      </c>
      <c r="E27" s="33" t="s">
        <v>21</v>
      </c>
      <c r="F27" s="33" t="s">
        <v>22</v>
      </c>
      <c r="G27" s="33" t="s">
        <v>23</v>
      </c>
      <c r="H27" s="33" t="s">
        <v>24</v>
      </c>
      <c r="I27" s="33" t="s">
        <v>25</v>
      </c>
      <c r="J27" s="33" t="s">
        <v>26</v>
      </c>
      <c r="K27" s="33" t="s">
        <v>63</v>
      </c>
      <c r="L27" s="33" t="s">
        <v>64</v>
      </c>
      <c r="M27" s="33" t="s">
        <v>65</v>
      </c>
      <c r="N27" s="33" t="s">
        <v>66</v>
      </c>
      <c r="O27" s="33" t="s">
        <v>67</v>
      </c>
      <c r="P27" s="33" t="s">
        <v>68</v>
      </c>
      <c r="Q27" s="33" t="s">
        <v>69</v>
      </c>
      <c r="R27" s="33" t="s">
        <v>70</v>
      </c>
    </row>
    <row r="28" spans="1:23" ht="15.75" customHeight="1">
      <c r="A28" s="34" t="s">
        <v>115</v>
      </c>
      <c r="B28" s="97" t="s">
        <v>27</v>
      </c>
      <c r="C28" s="51">
        <f>基礎!M21</f>
        <v>3247.2000000000003</v>
      </c>
      <c r="D28" s="51">
        <f>基礎!N21</f>
        <v>3247.2000000000003</v>
      </c>
      <c r="E28" s="51">
        <f>基礎!O21</f>
        <v>3247.2000000000003</v>
      </c>
      <c r="F28" s="51">
        <f>基礎!P21</f>
        <v>3247.2000000000003</v>
      </c>
      <c r="G28" s="51">
        <f>基礎!Q21</f>
        <v>3247.2000000000003</v>
      </c>
      <c r="H28" s="51">
        <f>基礎!R21</f>
        <v>3247.2000000000003</v>
      </c>
      <c r="I28" s="51">
        <f>基礎!S21</f>
        <v>3247.2000000000003</v>
      </c>
      <c r="J28" s="51">
        <f>基礎!T21</f>
        <v>3247.2000000000003</v>
      </c>
      <c r="K28" s="52"/>
      <c r="L28" s="52"/>
      <c r="M28" s="52"/>
      <c r="N28" s="52"/>
      <c r="O28" s="52"/>
      <c r="P28" s="52"/>
      <c r="Q28" s="52"/>
      <c r="R28" s="52"/>
    </row>
    <row r="29" spans="1:23" ht="15.75" customHeight="1">
      <c r="A29" s="34" t="s">
        <v>72</v>
      </c>
      <c r="B29" s="97" t="s">
        <v>28</v>
      </c>
      <c r="C29" s="51">
        <f>基礎!M22</f>
        <v>28600.000000000004</v>
      </c>
      <c r="D29" s="51">
        <f>基礎!N22</f>
        <v>11440.000000000002</v>
      </c>
      <c r="E29" s="51">
        <f>基礎!O22</f>
        <v>4576.0000000000009</v>
      </c>
      <c r="F29" s="51">
        <f>基礎!P22</f>
        <v>1830.4000000000005</v>
      </c>
      <c r="G29" s="51">
        <f>基礎!Q22</f>
        <v>732.16000000000031</v>
      </c>
      <c r="H29" s="51"/>
      <c r="I29" s="51"/>
      <c r="J29" s="51"/>
      <c r="K29" s="52"/>
      <c r="L29" s="52"/>
      <c r="M29" s="52"/>
      <c r="N29" s="52"/>
      <c r="O29" s="52"/>
      <c r="P29" s="52"/>
      <c r="Q29" s="52"/>
      <c r="R29" s="52"/>
    </row>
    <row r="30" spans="1:23" ht="15.75" customHeight="1">
      <c r="A30" s="34" t="s">
        <v>116</v>
      </c>
      <c r="B30" s="97" t="s">
        <v>29</v>
      </c>
      <c r="C30" s="53">
        <f>基礎!M23</f>
        <v>3044.8</v>
      </c>
      <c r="D30" s="53">
        <f>基礎!N23</f>
        <v>3044.8</v>
      </c>
      <c r="E30" s="53">
        <f>基礎!O23</f>
        <v>3044.8</v>
      </c>
      <c r="F30" s="53">
        <f>基礎!P23</f>
        <v>3044.8</v>
      </c>
      <c r="G30" s="53">
        <f>基礎!Q23</f>
        <v>3044.8</v>
      </c>
      <c r="H30" s="53"/>
      <c r="I30" s="53"/>
      <c r="J30" s="53"/>
      <c r="K30" s="52"/>
      <c r="L30" s="52"/>
      <c r="M30" s="52"/>
      <c r="N30" s="52"/>
      <c r="O30" s="52"/>
      <c r="P30" s="52"/>
      <c r="Q30" s="54"/>
      <c r="R30" s="54"/>
    </row>
    <row r="31" spans="1:23" ht="15.75" customHeight="1">
      <c r="A31" s="34" t="s">
        <v>73</v>
      </c>
      <c r="B31" s="97" t="s">
        <v>30</v>
      </c>
      <c r="C31" s="53">
        <f>基礎!M24</f>
        <v>22000</v>
      </c>
      <c r="D31" s="53">
        <f>基礎!N24</f>
        <v>11000</v>
      </c>
      <c r="E31" s="53">
        <f>基礎!O24</f>
        <v>5500</v>
      </c>
      <c r="F31" s="53">
        <f>基礎!P24</f>
        <v>2750</v>
      </c>
      <c r="G31" s="53"/>
      <c r="H31" s="53"/>
      <c r="I31" s="53"/>
      <c r="J31" s="53"/>
      <c r="K31" s="52"/>
      <c r="L31" s="52"/>
      <c r="M31" s="52"/>
      <c r="N31" s="52"/>
      <c r="O31" s="52"/>
      <c r="P31" s="52"/>
      <c r="Q31" s="54"/>
      <c r="R31" s="54"/>
    </row>
    <row r="32" spans="1:23" ht="15.75" customHeight="1">
      <c r="A32" s="34" t="s">
        <v>74</v>
      </c>
      <c r="B32" s="97" t="s">
        <v>31</v>
      </c>
      <c r="C32" s="55">
        <f>基礎!M25</f>
        <v>4844.4000000000005</v>
      </c>
      <c r="D32" s="55">
        <f>基礎!N25</f>
        <v>4844.4000000000005</v>
      </c>
      <c r="E32" s="55">
        <f>基礎!O25</f>
        <v>4844.4000000000005</v>
      </c>
      <c r="F32" s="55">
        <f>基礎!P25</f>
        <v>4844.4000000000005</v>
      </c>
      <c r="G32" s="55">
        <f>基礎!Q25</f>
        <v>4844.4000000000005</v>
      </c>
      <c r="H32" s="55">
        <f>基礎!R25</f>
        <v>4844.4000000000005</v>
      </c>
      <c r="I32" s="55">
        <f>基礎!S25</f>
        <v>4844.4000000000005</v>
      </c>
      <c r="J32" s="55">
        <f>基礎!T25</f>
        <v>4844.4000000000005</v>
      </c>
      <c r="K32" s="52"/>
      <c r="L32" s="52"/>
      <c r="M32" s="52"/>
      <c r="N32" s="52"/>
      <c r="O32" s="52"/>
      <c r="P32" s="52"/>
      <c r="Q32" s="54"/>
      <c r="R32" s="54"/>
    </row>
    <row r="33" spans="1:18" ht="15.75" customHeight="1">
      <c r="A33" s="34" t="s">
        <v>117</v>
      </c>
      <c r="B33" s="97" t="s">
        <v>32</v>
      </c>
      <c r="C33" s="55">
        <f>基礎!M26</f>
        <v>3709.2000000000003</v>
      </c>
      <c r="D33" s="55">
        <f>基礎!N26</f>
        <v>3709.2000000000003</v>
      </c>
      <c r="E33" s="55">
        <f>基礎!O26</f>
        <v>3709.2000000000003</v>
      </c>
      <c r="F33" s="55">
        <f>基礎!P26</f>
        <v>3709.2000000000003</v>
      </c>
      <c r="G33" s="55">
        <f>基礎!Q26</f>
        <v>3709.2000000000003</v>
      </c>
      <c r="H33" s="55">
        <f>基礎!R26</f>
        <v>3709.2000000000003</v>
      </c>
      <c r="I33" s="55">
        <f>基礎!S26</f>
        <v>3709.2000000000003</v>
      </c>
      <c r="J33" s="55"/>
      <c r="K33" s="52"/>
      <c r="L33" s="52"/>
      <c r="M33" s="52"/>
      <c r="N33" s="52"/>
      <c r="O33" s="52"/>
      <c r="P33" s="52"/>
      <c r="Q33" s="54"/>
      <c r="R33" s="54"/>
    </row>
    <row r="34" spans="1:18" ht="15.75" customHeight="1">
      <c r="A34" s="34" t="s">
        <v>75</v>
      </c>
      <c r="B34" s="97" t="s">
        <v>33</v>
      </c>
      <c r="C34" s="56">
        <f>基礎!M27</f>
        <v>14168</v>
      </c>
      <c r="D34" s="56">
        <f>基礎!N27</f>
        <v>14168</v>
      </c>
      <c r="E34" s="56">
        <f>基礎!O27</f>
        <v>14168</v>
      </c>
      <c r="F34" s="56">
        <f>基礎!P27</f>
        <v>14168</v>
      </c>
      <c r="G34" s="56">
        <f>基礎!Q27</f>
        <v>14168</v>
      </c>
      <c r="H34" s="56">
        <f>基礎!R27</f>
        <v>14168</v>
      </c>
      <c r="I34" s="56"/>
      <c r="J34" s="56"/>
      <c r="K34" s="52"/>
      <c r="L34" s="52"/>
      <c r="M34" s="52"/>
      <c r="N34" s="52"/>
      <c r="O34" s="52"/>
      <c r="P34" s="52"/>
      <c r="Q34" s="54"/>
      <c r="R34" s="54"/>
    </row>
    <row r="35" spans="1:18" ht="15.75" customHeight="1">
      <c r="A35" s="34" t="s">
        <v>117</v>
      </c>
      <c r="B35" s="99" t="s">
        <v>58</v>
      </c>
      <c r="C35" s="56">
        <f>基礎!M28</f>
        <v>21824</v>
      </c>
      <c r="D35" s="56">
        <f>基礎!N28</f>
        <v>21824</v>
      </c>
      <c r="E35" s="56">
        <f>基礎!O28</f>
        <v>21824</v>
      </c>
      <c r="F35" s="56">
        <f>基礎!P28</f>
        <v>21824</v>
      </c>
      <c r="G35" s="56"/>
      <c r="H35" s="56"/>
      <c r="I35" s="56"/>
      <c r="J35" s="56"/>
      <c r="K35" s="52"/>
      <c r="L35" s="52"/>
      <c r="M35" s="52"/>
      <c r="N35" s="52"/>
      <c r="O35" s="52"/>
      <c r="P35" s="52"/>
      <c r="Q35" s="54"/>
      <c r="R35" s="54"/>
    </row>
    <row r="36" spans="1:18" ht="15.75" customHeight="1">
      <c r="A36" s="34" t="s">
        <v>119</v>
      </c>
      <c r="B36" s="99" t="s">
        <v>59</v>
      </c>
      <c r="C36" s="56">
        <f>基礎!M29</f>
        <v>14784</v>
      </c>
      <c r="D36" s="56">
        <f>基礎!N29</f>
        <v>14784</v>
      </c>
      <c r="E36" s="56">
        <f>基礎!O29</f>
        <v>14784</v>
      </c>
      <c r="F36" s="56">
        <f>基礎!P29</f>
        <v>14784</v>
      </c>
      <c r="G36" s="56">
        <f>基礎!Q29</f>
        <v>14784</v>
      </c>
      <c r="H36" s="56">
        <f>基礎!R29</f>
        <v>14784</v>
      </c>
      <c r="I36" s="56">
        <f>基礎!S29</f>
        <v>14784</v>
      </c>
      <c r="J36" s="56">
        <f>基礎!T29</f>
        <v>14784</v>
      </c>
      <c r="K36" s="56">
        <f>基礎!U29</f>
        <v>14784</v>
      </c>
      <c r="L36" s="56">
        <f>基礎!V29</f>
        <v>14784</v>
      </c>
      <c r="M36" s="56">
        <f>基礎!W29</f>
        <v>14784</v>
      </c>
      <c r="N36" s="56">
        <f>基礎!X29</f>
        <v>14784</v>
      </c>
      <c r="O36" s="56">
        <f>基礎!Y29</f>
        <v>14784</v>
      </c>
      <c r="P36" s="56">
        <f>基礎!Z29</f>
        <v>14784</v>
      </c>
      <c r="Q36" s="56">
        <f>基礎!AA29</f>
        <v>14784</v>
      </c>
      <c r="R36" s="56">
        <f>基礎!AB29</f>
        <v>14784</v>
      </c>
    </row>
    <row r="37" spans="1:18" ht="15.75" customHeight="1">
      <c r="R37" s="32"/>
    </row>
    <row r="38" spans="1:18" ht="15.75" customHeight="1"/>
    <row r="39" spans="1:18" ht="15.75" customHeight="1">
      <c r="A39" s="34"/>
      <c r="B39" s="101" t="s">
        <v>36</v>
      </c>
      <c r="C39" s="33" t="s">
        <v>19</v>
      </c>
      <c r="D39" s="33" t="s">
        <v>20</v>
      </c>
      <c r="E39" s="33" t="s">
        <v>21</v>
      </c>
      <c r="F39" s="33" t="s">
        <v>22</v>
      </c>
      <c r="G39" s="33" t="s">
        <v>23</v>
      </c>
      <c r="H39" s="33" t="s">
        <v>24</v>
      </c>
      <c r="I39" s="33" t="s">
        <v>25</v>
      </c>
      <c r="J39" s="33" t="s">
        <v>26</v>
      </c>
      <c r="K39" s="33" t="s">
        <v>63</v>
      </c>
      <c r="L39" s="33" t="s">
        <v>64</v>
      </c>
      <c r="M39" s="33" t="s">
        <v>65</v>
      </c>
      <c r="N39" s="33" t="s">
        <v>66</v>
      </c>
      <c r="O39" s="33" t="s">
        <v>67</v>
      </c>
      <c r="P39" s="33" t="s">
        <v>68</v>
      </c>
      <c r="Q39" s="33" t="s">
        <v>69</v>
      </c>
      <c r="R39" s="33" t="s">
        <v>70</v>
      </c>
    </row>
    <row r="40" spans="1:18" ht="15.75" customHeight="1">
      <c r="A40" s="34" t="s">
        <v>115</v>
      </c>
      <c r="B40" s="34" t="s">
        <v>27</v>
      </c>
      <c r="C40" s="57">
        <f>SUM($C28:C28)</f>
        <v>3247.2000000000003</v>
      </c>
      <c r="D40" s="57">
        <f>SUM($C28:D28)</f>
        <v>6494.4000000000005</v>
      </c>
      <c r="E40" s="57">
        <f>SUM($C28:E28)</f>
        <v>9741.6</v>
      </c>
      <c r="F40" s="57">
        <f>SUM($C28:F28)</f>
        <v>12988.800000000001</v>
      </c>
      <c r="G40" s="57">
        <f>SUM($C28:G28)</f>
        <v>16236.000000000002</v>
      </c>
      <c r="H40" s="57">
        <f>SUM($C28:H28)</f>
        <v>19483.2</v>
      </c>
      <c r="I40" s="57">
        <f>SUM($C28:I28)</f>
        <v>22730.400000000001</v>
      </c>
      <c r="J40" s="57">
        <f>SUM($C28:J28)</f>
        <v>25977.600000000002</v>
      </c>
      <c r="K40" s="34"/>
      <c r="L40" s="34"/>
      <c r="M40" s="34"/>
      <c r="N40" s="34"/>
      <c r="O40" s="34"/>
      <c r="P40" s="34"/>
      <c r="Q40" s="34"/>
      <c r="R40" s="34"/>
    </row>
    <row r="41" spans="1:18" ht="15.75" customHeight="1">
      <c r="A41" s="34" t="s">
        <v>72</v>
      </c>
      <c r="B41" s="34" t="s">
        <v>28</v>
      </c>
      <c r="C41" s="57">
        <f>SUM($C29:C29)</f>
        <v>28600.000000000004</v>
      </c>
      <c r="D41" s="57">
        <f>SUM($C29:D29)</f>
        <v>40040.000000000007</v>
      </c>
      <c r="E41" s="57">
        <f>SUM($C29:E29)</f>
        <v>44616.000000000007</v>
      </c>
      <c r="F41" s="57">
        <f>SUM($C29:F29)</f>
        <v>46446.400000000009</v>
      </c>
      <c r="G41" s="57">
        <f>SUM($C29:G29)</f>
        <v>47178.560000000012</v>
      </c>
      <c r="H41" s="57"/>
      <c r="I41" s="57"/>
      <c r="J41" s="57"/>
      <c r="K41" s="34"/>
      <c r="L41" s="34"/>
      <c r="M41" s="34"/>
      <c r="N41" s="34"/>
      <c r="O41" s="34"/>
      <c r="P41" s="34"/>
      <c r="Q41" s="34"/>
      <c r="R41" s="34"/>
    </row>
    <row r="42" spans="1:18" ht="15.75" customHeight="1">
      <c r="A42" s="34" t="s">
        <v>116</v>
      </c>
      <c r="B42" s="34" t="s">
        <v>29</v>
      </c>
      <c r="C42" s="57">
        <f>SUM($C30:C30)</f>
        <v>3044.8</v>
      </c>
      <c r="D42" s="57">
        <f>SUM($C30:D30)</f>
        <v>6089.6</v>
      </c>
      <c r="E42" s="57">
        <f>SUM($C30:E30)</f>
        <v>9134.4000000000015</v>
      </c>
      <c r="F42" s="57">
        <f>SUM($C30:F30)</f>
        <v>12179.2</v>
      </c>
      <c r="G42" s="57">
        <f>SUM($C30:G30)</f>
        <v>15224</v>
      </c>
      <c r="H42" s="57"/>
      <c r="I42" s="57"/>
      <c r="J42" s="57"/>
      <c r="K42" s="34"/>
      <c r="L42" s="34"/>
      <c r="M42" s="34"/>
      <c r="N42" s="34"/>
      <c r="O42" s="34"/>
      <c r="P42" s="34"/>
      <c r="Q42" s="34"/>
      <c r="R42" s="34"/>
    </row>
    <row r="43" spans="1:18" ht="15.75" customHeight="1">
      <c r="A43" s="34" t="s">
        <v>73</v>
      </c>
      <c r="B43" s="34" t="s">
        <v>30</v>
      </c>
      <c r="C43" s="57">
        <f>SUM($C31:C31)</f>
        <v>22000</v>
      </c>
      <c r="D43" s="57">
        <f>SUM($C31:D31)</f>
        <v>33000</v>
      </c>
      <c r="E43" s="57">
        <f>SUM($C31:E31)</f>
        <v>38500</v>
      </c>
      <c r="F43" s="57">
        <f>SUM($C31:F31)</f>
        <v>41250</v>
      </c>
      <c r="G43" s="57"/>
      <c r="H43" s="57"/>
      <c r="I43" s="57"/>
      <c r="J43" s="57"/>
      <c r="K43" s="34"/>
      <c r="L43" s="34"/>
      <c r="M43" s="34"/>
      <c r="N43" s="34"/>
      <c r="O43" s="34"/>
      <c r="P43" s="34"/>
      <c r="Q43" s="34"/>
      <c r="R43" s="34"/>
    </row>
    <row r="44" spans="1:18" ht="15.75" customHeight="1">
      <c r="A44" s="34" t="s">
        <v>74</v>
      </c>
      <c r="B44" s="34" t="s">
        <v>31</v>
      </c>
      <c r="C44" s="57">
        <f>SUM($C32:C32)</f>
        <v>4844.4000000000005</v>
      </c>
      <c r="D44" s="57">
        <f>SUM($C32:D32)</f>
        <v>9688.8000000000011</v>
      </c>
      <c r="E44" s="57">
        <f>SUM($C32:E32)</f>
        <v>14533.2</v>
      </c>
      <c r="F44" s="57">
        <f>SUM($C32:F32)</f>
        <v>19377.600000000002</v>
      </c>
      <c r="G44" s="57">
        <f>SUM($C32:G32)</f>
        <v>24222.000000000004</v>
      </c>
      <c r="H44" s="57">
        <f>SUM($C32:H32)</f>
        <v>29066.400000000005</v>
      </c>
      <c r="I44" s="57">
        <f>SUM($C32:I32)</f>
        <v>33910.800000000003</v>
      </c>
      <c r="J44" s="57">
        <f>SUM($C32:J32)</f>
        <v>38755.200000000004</v>
      </c>
      <c r="K44" s="34"/>
      <c r="L44" s="34"/>
      <c r="M44" s="34"/>
      <c r="N44" s="34"/>
      <c r="O44" s="34"/>
      <c r="P44" s="34"/>
      <c r="Q44" s="34"/>
      <c r="R44" s="34"/>
    </row>
    <row r="45" spans="1:18" ht="15.75" customHeight="1">
      <c r="A45" s="34" t="s">
        <v>117</v>
      </c>
      <c r="B45" s="34" t="s">
        <v>32</v>
      </c>
      <c r="C45" s="57">
        <f>SUM($C33:C33)</f>
        <v>3709.2000000000003</v>
      </c>
      <c r="D45" s="57">
        <f>SUM($C33:D33)</f>
        <v>7418.4000000000005</v>
      </c>
      <c r="E45" s="57">
        <f>SUM($C33:E33)</f>
        <v>11127.6</v>
      </c>
      <c r="F45" s="57">
        <f>SUM($C33:F33)</f>
        <v>14836.800000000001</v>
      </c>
      <c r="G45" s="57">
        <f>SUM($C33:G33)</f>
        <v>18546</v>
      </c>
      <c r="H45" s="57">
        <f>SUM($C33:H33)</f>
        <v>22255.200000000001</v>
      </c>
      <c r="I45" s="57">
        <f>SUM($C33:I33)</f>
        <v>25964.400000000001</v>
      </c>
      <c r="J45" s="57"/>
      <c r="K45" s="34"/>
      <c r="L45" s="34"/>
      <c r="M45" s="34"/>
      <c r="N45" s="34"/>
      <c r="O45" s="34"/>
      <c r="P45" s="34"/>
      <c r="Q45" s="34"/>
      <c r="R45" s="34"/>
    </row>
    <row r="46" spans="1:18" ht="15.75" customHeight="1">
      <c r="A46" s="102" t="s">
        <v>75</v>
      </c>
      <c r="B46" s="34" t="s">
        <v>33</v>
      </c>
      <c r="C46" s="57">
        <f>SUM($C34:C34)</f>
        <v>14168</v>
      </c>
      <c r="D46" s="57">
        <f>SUM($C34:D34)</f>
        <v>28336</v>
      </c>
      <c r="E46" s="57">
        <f>SUM($C34:E34)</f>
        <v>42504</v>
      </c>
      <c r="F46" s="57">
        <f>SUM($C34:F34)</f>
        <v>56672</v>
      </c>
      <c r="G46" s="57">
        <f>SUM($C34:G34)</f>
        <v>70840</v>
      </c>
      <c r="H46" s="57">
        <f>SUM($C34:H34)</f>
        <v>85008</v>
      </c>
      <c r="I46" s="57"/>
      <c r="J46" s="57"/>
      <c r="K46" s="34"/>
      <c r="L46" s="34"/>
      <c r="M46" s="34"/>
      <c r="N46" s="34"/>
      <c r="O46" s="34"/>
      <c r="P46" s="34"/>
      <c r="Q46" s="34"/>
      <c r="R46" s="34"/>
    </row>
    <row r="47" spans="1:18" ht="15.75" customHeight="1">
      <c r="A47" s="34" t="s">
        <v>119</v>
      </c>
      <c r="B47" s="100" t="s">
        <v>58</v>
      </c>
      <c r="C47" s="57">
        <f>SUM($C35:C35)</f>
        <v>21824</v>
      </c>
      <c r="D47" s="57">
        <f>SUM($C35:D35)</f>
        <v>43648</v>
      </c>
      <c r="E47" s="57">
        <f>SUM($C35:E35)</f>
        <v>65472</v>
      </c>
      <c r="F47" s="57">
        <f>SUM($C35:F35)</f>
        <v>87296</v>
      </c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</row>
    <row r="48" spans="1:18" ht="15.75" customHeight="1">
      <c r="A48" s="34" t="s">
        <v>117</v>
      </c>
      <c r="B48" s="100" t="s">
        <v>59</v>
      </c>
      <c r="C48" s="57">
        <f>SUM($C36:C36)</f>
        <v>14784</v>
      </c>
      <c r="D48" s="57">
        <f>SUM($C36:D36)</f>
        <v>29568</v>
      </c>
      <c r="E48" s="57">
        <f>SUM($C36:E36)</f>
        <v>44352</v>
      </c>
      <c r="F48" s="57">
        <f>SUM($C36:F36)</f>
        <v>59136</v>
      </c>
      <c r="G48" s="57">
        <f>SUM($C36:G36)</f>
        <v>73920</v>
      </c>
      <c r="H48" s="57">
        <f>SUM($C36:H36)</f>
        <v>88704</v>
      </c>
      <c r="I48" s="57">
        <f>SUM($C36:I36)</f>
        <v>103488</v>
      </c>
      <c r="J48" s="57">
        <f>SUM($C36:J36)</f>
        <v>118272</v>
      </c>
      <c r="K48" s="57">
        <f>SUM($C36:K36)</f>
        <v>133056</v>
      </c>
      <c r="L48" s="57">
        <f>SUM($C36:L36)</f>
        <v>147840</v>
      </c>
      <c r="M48" s="57">
        <f>SUM($C36:M36)</f>
        <v>162624</v>
      </c>
      <c r="N48" s="57">
        <f>SUM($C36:N36)</f>
        <v>177408</v>
      </c>
      <c r="O48" s="57">
        <f>SUM($C36:O36)</f>
        <v>192192</v>
      </c>
      <c r="P48" s="57">
        <f>SUM($C36:P36)</f>
        <v>206976</v>
      </c>
      <c r="Q48" s="57">
        <f>SUM($C36:Q36)</f>
        <v>221760</v>
      </c>
      <c r="R48" s="57">
        <f>SUM($C36:R36)</f>
        <v>236544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K23:L23"/>
  </mergeCells>
  <phoneticPr fontId="4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DEFEB-148D-4FC9-B9FA-1225729E2F8A}">
  <dimension ref="A1:P25"/>
  <sheetViews>
    <sheetView workbookViewId="0">
      <selection activeCell="A2" sqref="A2:B2"/>
    </sheetView>
  </sheetViews>
  <sheetFormatPr defaultRowHeight="15"/>
  <cols>
    <col min="1" max="1" width="14.125" style="28" bestFit="1" customWidth="1"/>
    <col min="2" max="22" width="10" style="28" customWidth="1"/>
    <col min="23" max="24" width="15.125" style="28" bestFit="1" customWidth="1"/>
    <col min="25" max="16384" width="9" style="28"/>
  </cols>
  <sheetData>
    <row r="1" spans="1:16">
      <c r="A1" s="16"/>
      <c r="B1" s="16"/>
      <c r="C1" s="16"/>
      <c r="D1" s="16"/>
      <c r="E1" s="16"/>
      <c r="F1" s="17" t="s">
        <v>133</v>
      </c>
      <c r="G1" s="17" t="s">
        <v>37</v>
      </c>
      <c r="H1" s="17" t="s">
        <v>38</v>
      </c>
      <c r="I1" s="17" t="s">
        <v>39</v>
      </c>
      <c r="J1" s="17" t="s">
        <v>40</v>
      </c>
      <c r="K1" s="17" t="s">
        <v>41</v>
      </c>
      <c r="L1" s="17" t="s">
        <v>42</v>
      </c>
      <c r="M1" s="17" t="s">
        <v>43</v>
      </c>
      <c r="N1" s="17" t="s">
        <v>44</v>
      </c>
      <c r="O1" s="17" t="s">
        <v>45</v>
      </c>
      <c r="P1" s="17" t="s">
        <v>46</v>
      </c>
    </row>
    <row r="2" spans="1:16" ht="15.75">
      <c r="A2" s="108" t="s">
        <v>137</v>
      </c>
      <c r="B2" s="107"/>
      <c r="C2" s="10">
        <v>0.06</v>
      </c>
      <c r="D2" s="16"/>
      <c r="E2" s="16"/>
      <c r="F2" s="18">
        <f>基礎!C14</f>
        <v>7</v>
      </c>
      <c r="G2" s="18">
        <v>0</v>
      </c>
      <c r="H2" s="18">
        <v>1</v>
      </c>
      <c r="I2" s="18">
        <v>2</v>
      </c>
      <c r="J2" s="18">
        <v>3</v>
      </c>
      <c r="K2" s="18">
        <v>4</v>
      </c>
      <c r="L2" s="18">
        <v>5</v>
      </c>
      <c r="M2" s="18">
        <v>6</v>
      </c>
      <c r="N2" s="18">
        <v>7</v>
      </c>
      <c r="O2" s="18">
        <v>8</v>
      </c>
      <c r="P2" s="18">
        <v>9</v>
      </c>
    </row>
    <row r="3" spans="1:16">
      <c r="A3" s="19"/>
      <c r="B3" s="19" t="s">
        <v>132</v>
      </c>
      <c r="C3" s="20" t="s">
        <v>138</v>
      </c>
      <c r="D3" s="20" t="s">
        <v>137</v>
      </c>
      <c r="E3" s="20" t="s">
        <v>47</v>
      </c>
      <c r="F3" s="21" t="s">
        <v>76</v>
      </c>
      <c r="G3" s="21" t="s">
        <v>76</v>
      </c>
      <c r="H3" s="21" t="s">
        <v>76</v>
      </c>
      <c r="I3" s="21" t="s">
        <v>76</v>
      </c>
      <c r="J3" s="21" t="s">
        <v>76</v>
      </c>
      <c r="K3" s="21" t="s">
        <v>76</v>
      </c>
      <c r="L3" s="21" t="s">
        <v>76</v>
      </c>
      <c r="M3" s="21" t="s">
        <v>76</v>
      </c>
      <c r="N3" s="21" t="s">
        <v>76</v>
      </c>
      <c r="O3" s="21" t="s">
        <v>76</v>
      </c>
      <c r="P3" s="21" t="s">
        <v>76</v>
      </c>
    </row>
    <row r="4" spans="1:16">
      <c r="A4" s="19"/>
      <c r="B4" s="19">
        <v>8</v>
      </c>
      <c r="C4" s="20">
        <v>0.75</v>
      </c>
      <c r="D4" s="25">
        <f>1-$C$2</f>
        <v>0.94</v>
      </c>
      <c r="E4" s="22">
        <f>$B4*$C4*$D4-10</f>
        <v>-4.3600000000000003</v>
      </c>
      <c r="F4" s="23">
        <f t="shared" ref="F4:P4" si="0">MAX(IF($E4&gt;0,IF($E4-F$2&gt;0,$B4*$C4*$D4-F$2,10*(1-(F$2-$E4)*0.05)),$B4*$C4*$D4*(1-(F$2*0.05))),5)</f>
        <v>5</v>
      </c>
      <c r="G4" s="23">
        <f t="shared" si="0"/>
        <v>5.64</v>
      </c>
      <c r="H4" s="23">
        <f t="shared" si="0"/>
        <v>5.3579999999999997</v>
      </c>
      <c r="I4" s="23">
        <f t="shared" si="0"/>
        <v>5.0759999999999996</v>
      </c>
      <c r="J4" s="23">
        <f t="shared" si="0"/>
        <v>5</v>
      </c>
      <c r="K4" s="23">
        <f t="shared" si="0"/>
        <v>5</v>
      </c>
      <c r="L4" s="23">
        <f t="shared" si="0"/>
        <v>5</v>
      </c>
      <c r="M4" s="23">
        <f t="shared" si="0"/>
        <v>5</v>
      </c>
      <c r="N4" s="23">
        <f t="shared" si="0"/>
        <v>5</v>
      </c>
      <c r="O4" s="23">
        <f t="shared" si="0"/>
        <v>5</v>
      </c>
      <c r="P4" s="23">
        <f t="shared" si="0"/>
        <v>5</v>
      </c>
    </row>
    <row r="5" spans="1:16">
      <c r="A5" s="19"/>
      <c r="B5" s="19">
        <v>10</v>
      </c>
      <c r="C5" s="20">
        <v>0.75</v>
      </c>
      <c r="D5" s="25">
        <f t="shared" ref="D5:D15" si="1">1-$C$2</f>
        <v>0.94</v>
      </c>
      <c r="E5" s="22">
        <f t="shared" ref="E5:E8" si="2">$B5*$C5*$D5-10</f>
        <v>-2.95</v>
      </c>
      <c r="F5" s="23">
        <f t="shared" ref="F5:F15" si="3">MAX(IF($E5&gt;0,IF($E5-F$2&gt;0,$B5*$C5*$D5-F$2,10*(1-(F$2-$E5)*0.05)),$B5*$C5*$D5*(1-(F$2*0.05))),5)</f>
        <v>5</v>
      </c>
      <c r="G5" s="23">
        <f t="shared" ref="G5:P15" si="4">MAX(IF($E5&gt;0,IF($E5-G$2&gt;0,$B5*$C5*$D5-G$2,10*(1-(G$2-$E5)*0.05)),$B5*$C5*$D5*(1-(G$2*0.05))),5)</f>
        <v>7.05</v>
      </c>
      <c r="H5" s="23">
        <f t="shared" si="4"/>
        <v>6.6974999999999998</v>
      </c>
      <c r="I5" s="23">
        <f t="shared" si="4"/>
        <v>6.3449999999999998</v>
      </c>
      <c r="J5" s="23">
        <f t="shared" si="4"/>
        <v>5.9924999999999997</v>
      </c>
      <c r="K5" s="23">
        <f t="shared" si="4"/>
        <v>5.6400000000000006</v>
      </c>
      <c r="L5" s="23">
        <f t="shared" si="4"/>
        <v>5.2874999999999996</v>
      </c>
      <c r="M5" s="23">
        <f t="shared" si="4"/>
        <v>5</v>
      </c>
      <c r="N5" s="23">
        <f t="shared" si="4"/>
        <v>5</v>
      </c>
      <c r="O5" s="23">
        <f t="shared" si="4"/>
        <v>5</v>
      </c>
      <c r="P5" s="23">
        <f t="shared" si="4"/>
        <v>5</v>
      </c>
    </row>
    <row r="6" spans="1:16">
      <c r="A6" s="19"/>
      <c r="B6" s="19">
        <v>8</v>
      </c>
      <c r="C6" s="24">
        <v>1</v>
      </c>
      <c r="D6" s="25">
        <f t="shared" si="1"/>
        <v>0.94</v>
      </c>
      <c r="E6" s="22">
        <f t="shared" si="2"/>
        <v>-2.4800000000000004</v>
      </c>
      <c r="F6" s="23">
        <f t="shared" si="3"/>
        <v>5</v>
      </c>
      <c r="G6" s="23">
        <f t="shared" si="4"/>
        <v>7.52</v>
      </c>
      <c r="H6" s="23">
        <f t="shared" si="4"/>
        <v>7.1439999999999992</v>
      </c>
      <c r="I6" s="23">
        <f t="shared" si="4"/>
        <v>6.7679999999999998</v>
      </c>
      <c r="J6" s="23">
        <f t="shared" si="4"/>
        <v>6.3919999999999995</v>
      </c>
      <c r="K6" s="23">
        <f t="shared" si="4"/>
        <v>6.016</v>
      </c>
      <c r="L6" s="23">
        <f t="shared" si="4"/>
        <v>5.64</v>
      </c>
      <c r="M6" s="23">
        <f t="shared" si="4"/>
        <v>5.2639999999999993</v>
      </c>
      <c r="N6" s="60">
        <f t="shared" si="4"/>
        <v>5</v>
      </c>
      <c r="O6" s="23">
        <f t="shared" si="4"/>
        <v>5</v>
      </c>
      <c r="P6" s="23">
        <f t="shared" si="4"/>
        <v>5</v>
      </c>
    </row>
    <row r="7" spans="1:16">
      <c r="A7" s="19"/>
      <c r="B7" s="19">
        <v>10</v>
      </c>
      <c r="C7" s="24">
        <v>1</v>
      </c>
      <c r="D7" s="25">
        <f t="shared" si="1"/>
        <v>0.94</v>
      </c>
      <c r="E7" s="22">
        <f t="shared" si="2"/>
        <v>-0.60000000000000142</v>
      </c>
      <c r="F7" s="23">
        <f t="shared" si="3"/>
        <v>6.1099999999999985</v>
      </c>
      <c r="G7" s="23">
        <f t="shared" si="4"/>
        <v>9.3999999999999986</v>
      </c>
      <c r="H7" s="23">
        <f t="shared" si="4"/>
        <v>8.9299999999999979</v>
      </c>
      <c r="I7" s="23">
        <f t="shared" si="4"/>
        <v>8.4599999999999991</v>
      </c>
      <c r="J7" s="23">
        <f t="shared" si="4"/>
        <v>7.9899999999999984</v>
      </c>
      <c r="K7" s="23">
        <f t="shared" si="4"/>
        <v>7.52</v>
      </c>
      <c r="L7" s="23">
        <f t="shared" si="4"/>
        <v>7.0499999999999989</v>
      </c>
      <c r="M7" s="23">
        <f t="shared" si="4"/>
        <v>6.5799999999999983</v>
      </c>
      <c r="N7" s="23">
        <f t="shared" si="4"/>
        <v>6.1099999999999985</v>
      </c>
      <c r="O7" s="23">
        <f t="shared" si="4"/>
        <v>5.6399999999999988</v>
      </c>
      <c r="P7" s="23">
        <f t="shared" si="4"/>
        <v>5.17</v>
      </c>
    </row>
    <row r="8" spans="1:16">
      <c r="A8" s="19" t="s">
        <v>75</v>
      </c>
      <c r="B8" s="19">
        <v>20</v>
      </c>
      <c r="C8" s="24">
        <v>1</v>
      </c>
      <c r="D8" s="25">
        <f t="shared" si="1"/>
        <v>0.94</v>
      </c>
      <c r="E8" s="22">
        <f t="shared" si="2"/>
        <v>8.7999999999999972</v>
      </c>
      <c r="F8" s="23">
        <f t="shared" si="3"/>
        <v>11.799999999999997</v>
      </c>
      <c r="G8" s="23">
        <f t="shared" si="4"/>
        <v>18.799999999999997</v>
      </c>
      <c r="H8" s="23">
        <f t="shared" si="4"/>
        <v>17.799999999999997</v>
      </c>
      <c r="I8" s="23">
        <f t="shared" si="4"/>
        <v>16.799999999999997</v>
      </c>
      <c r="J8" s="23">
        <f t="shared" si="4"/>
        <v>15.799999999999997</v>
      </c>
      <c r="K8" s="23">
        <f t="shared" si="4"/>
        <v>14.799999999999997</v>
      </c>
      <c r="L8" s="23">
        <f t="shared" si="4"/>
        <v>13.799999999999997</v>
      </c>
      <c r="M8" s="23">
        <f t="shared" si="4"/>
        <v>12.799999999999997</v>
      </c>
      <c r="N8" s="23">
        <f t="shared" si="4"/>
        <v>11.799999999999997</v>
      </c>
      <c r="O8" s="23">
        <f t="shared" si="4"/>
        <v>10.799999999999997</v>
      </c>
      <c r="P8" s="23">
        <f t="shared" si="4"/>
        <v>9.8999999999999986</v>
      </c>
    </row>
    <row r="9" spans="1:16">
      <c r="A9" s="19" t="s">
        <v>117</v>
      </c>
      <c r="B9" s="19">
        <v>40</v>
      </c>
      <c r="C9" s="24">
        <v>1</v>
      </c>
      <c r="D9" s="25">
        <f t="shared" si="1"/>
        <v>0.94</v>
      </c>
      <c r="E9" s="22">
        <f t="shared" ref="E9:E15" si="5">$B9*$C9*$D9-10</f>
        <v>27.599999999999994</v>
      </c>
      <c r="F9" s="23">
        <f t="shared" si="3"/>
        <v>30.599999999999994</v>
      </c>
      <c r="G9" s="23">
        <f t="shared" si="4"/>
        <v>37.599999999999994</v>
      </c>
      <c r="H9" s="23">
        <f t="shared" si="4"/>
        <v>36.599999999999994</v>
      </c>
      <c r="I9" s="23">
        <f t="shared" si="4"/>
        <v>35.599999999999994</v>
      </c>
      <c r="J9" s="23">
        <f t="shared" si="4"/>
        <v>34.599999999999994</v>
      </c>
      <c r="K9" s="23">
        <f t="shared" si="4"/>
        <v>33.599999999999994</v>
      </c>
      <c r="L9" s="23">
        <f t="shared" si="4"/>
        <v>32.599999999999994</v>
      </c>
      <c r="M9" s="23">
        <f t="shared" si="4"/>
        <v>31.599999999999994</v>
      </c>
      <c r="N9" s="23">
        <f t="shared" si="4"/>
        <v>30.599999999999994</v>
      </c>
      <c r="O9" s="23">
        <f t="shared" si="4"/>
        <v>29.599999999999994</v>
      </c>
      <c r="P9" s="23">
        <f t="shared" si="4"/>
        <v>28.599999999999994</v>
      </c>
    </row>
    <row r="10" spans="1:16">
      <c r="A10" s="19" t="s">
        <v>117</v>
      </c>
      <c r="B10" s="19">
        <v>45</v>
      </c>
      <c r="C10" s="24">
        <v>1</v>
      </c>
      <c r="D10" s="25">
        <f t="shared" si="1"/>
        <v>0.94</v>
      </c>
      <c r="E10" s="22">
        <f t="shared" si="5"/>
        <v>32.299999999999997</v>
      </c>
      <c r="F10" s="23">
        <f t="shared" si="3"/>
        <v>35.299999999999997</v>
      </c>
      <c r="G10" s="23">
        <f t="shared" si="4"/>
        <v>42.3</v>
      </c>
      <c r="H10" s="23">
        <f t="shared" si="4"/>
        <v>41.3</v>
      </c>
      <c r="I10" s="23">
        <f t="shared" si="4"/>
        <v>40.299999999999997</v>
      </c>
      <c r="J10" s="23">
        <f t="shared" si="4"/>
        <v>39.299999999999997</v>
      </c>
      <c r="K10" s="23">
        <f t="shared" si="4"/>
        <v>38.299999999999997</v>
      </c>
      <c r="L10" s="23">
        <f t="shared" si="4"/>
        <v>37.299999999999997</v>
      </c>
      <c r="M10" s="23">
        <f t="shared" si="4"/>
        <v>36.299999999999997</v>
      </c>
      <c r="N10" s="23">
        <f t="shared" si="4"/>
        <v>35.299999999999997</v>
      </c>
      <c r="O10" s="23">
        <f t="shared" si="4"/>
        <v>34.299999999999997</v>
      </c>
      <c r="P10" s="23">
        <f t="shared" si="4"/>
        <v>33.299999999999997</v>
      </c>
    </row>
    <row r="11" spans="1:16">
      <c r="A11" s="19" t="s">
        <v>117</v>
      </c>
      <c r="B11" s="19">
        <v>50</v>
      </c>
      <c r="C11" s="24">
        <v>1</v>
      </c>
      <c r="D11" s="25">
        <f t="shared" si="1"/>
        <v>0.94</v>
      </c>
      <c r="E11" s="22">
        <f t="shared" si="5"/>
        <v>37</v>
      </c>
      <c r="F11" s="23">
        <f t="shared" si="3"/>
        <v>40</v>
      </c>
      <c r="G11" s="23">
        <f t="shared" si="4"/>
        <v>47</v>
      </c>
      <c r="H11" s="23">
        <f t="shared" si="4"/>
        <v>46</v>
      </c>
      <c r="I11" s="23">
        <f t="shared" si="4"/>
        <v>45</v>
      </c>
      <c r="J11" s="23">
        <f t="shared" si="4"/>
        <v>44</v>
      </c>
      <c r="K11" s="23">
        <f t="shared" si="4"/>
        <v>43</v>
      </c>
      <c r="L11" s="23">
        <f t="shared" si="4"/>
        <v>42</v>
      </c>
      <c r="M11" s="23">
        <f t="shared" si="4"/>
        <v>41</v>
      </c>
      <c r="N11" s="23">
        <f t="shared" si="4"/>
        <v>40</v>
      </c>
      <c r="O11" s="23">
        <f t="shared" si="4"/>
        <v>39</v>
      </c>
      <c r="P11" s="23">
        <f t="shared" si="4"/>
        <v>38</v>
      </c>
    </row>
    <row r="12" spans="1:16">
      <c r="A12" s="19" t="s">
        <v>117</v>
      </c>
      <c r="B12" s="19">
        <v>55</v>
      </c>
      <c r="C12" s="24">
        <v>1</v>
      </c>
      <c r="D12" s="25">
        <f t="shared" si="1"/>
        <v>0.94</v>
      </c>
      <c r="E12" s="22">
        <f t="shared" si="5"/>
        <v>41.699999999999996</v>
      </c>
      <c r="F12" s="23">
        <f t="shared" si="3"/>
        <v>44.699999999999996</v>
      </c>
      <c r="G12" s="23">
        <f t="shared" si="4"/>
        <v>51.699999999999996</v>
      </c>
      <c r="H12" s="23">
        <f t="shared" si="4"/>
        <v>50.699999999999996</v>
      </c>
      <c r="I12" s="23">
        <f t="shared" si="4"/>
        <v>49.699999999999996</v>
      </c>
      <c r="J12" s="23">
        <f t="shared" si="4"/>
        <v>48.699999999999996</v>
      </c>
      <c r="K12" s="23">
        <f t="shared" si="4"/>
        <v>47.699999999999996</v>
      </c>
      <c r="L12" s="23">
        <f t="shared" si="4"/>
        <v>46.699999999999996</v>
      </c>
      <c r="M12" s="23">
        <f t="shared" si="4"/>
        <v>45.699999999999996</v>
      </c>
      <c r="N12" s="23">
        <f t="shared" si="4"/>
        <v>44.699999999999996</v>
      </c>
      <c r="O12" s="23">
        <f t="shared" si="4"/>
        <v>43.699999999999996</v>
      </c>
      <c r="P12" s="23">
        <f t="shared" si="4"/>
        <v>42.699999999999996</v>
      </c>
    </row>
    <row r="13" spans="1:16">
      <c r="A13" s="19" t="s">
        <v>117</v>
      </c>
      <c r="B13" s="19">
        <v>60</v>
      </c>
      <c r="C13" s="24">
        <v>1</v>
      </c>
      <c r="D13" s="25">
        <f t="shared" si="1"/>
        <v>0.94</v>
      </c>
      <c r="E13" s="22">
        <f t="shared" si="5"/>
        <v>46.4</v>
      </c>
      <c r="F13" s="23">
        <f t="shared" si="3"/>
        <v>49.4</v>
      </c>
      <c r="G13" s="23">
        <f t="shared" si="4"/>
        <v>56.4</v>
      </c>
      <c r="H13" s="23">
        <f t="shared" si="4"/>
        <v>55.4</v>
      </c>
      <c r="I13" s="23">
        <f t="shared" si="4"/>
        <v>54.4</v>
      </c>
      <c r="J13" s="23">
        <f t="shared" si="4"/>
        <v>53.4</v>
      </c>
      <c r="K13" s="23">
        <f t="shared" si="4"/>
        <v>52.4</v>
      </c>
      <c r="L13" s="23">
        <f t="shared" si="4"/>
        <v>51.4</v>
      </c>
      <c r="M13" s="23">
        <f t="shared" si="4"/>
        <v>50.4</v>
      </c>
      <c r="N13" s="23">
        <f t="shared" si="4"/>
        <v>49.4</v>
      </c>
      <c r="O13" s="23">
        <f t="shared" si="4"/>
        <v>48.4</v>
      </c>
      <c r="P13" s="23">
        <f t="shared" si="4"/>
        <v>47.4</v>
      </c>
    </row>
    <row r="14" spans="1:16">
      <c r="A14" s="19" t="s">
        <v>135</v>
      </c>
      <c r="B14" s="19">
        <v>180</v>
      </c>
      <c r="C14" s="24">
        <v>1</v>
      </c>
      <c r="D14" s="25">
        <f t="shared" si="1"/>
        <v>0.94</v>
      </c>
      <c r="E14" s="22">
        <f t="shared" si="5"/>
        <v>159.19999999999999</v>
      </c>
      <c r="F14" s="23">
        <f t="shared" si="3"/>
        <v>162.19999999999999</v>
      </c>
      <c r="G14" s="23">
        <f t="shared" si="4"/>
        <v>169.2</v>
      </c>
      <c r="H14" s="23">
        <f t="shared" si="4"/>
        <v>168.2</v>
      </c>
      <c r="I14" s="23">
        <f t="shared" si="4"/>
        <v>167.2</v>
      </c>
      <c r="J14" s="23">
        <f t="shared" si="4"/>
        <v>166.2</v>
      </c>
      <c r="K14" s="23">
        <f t="shared" si="4"/>
        <v>165.2</v>
      </c>
      <c r="L14" s="23">
        <f t="shared" si="4"/>
        <v>164.2</v>
      </c>
      <c r="M14" s="23">
        <f t="shared" si="4"/>
        <v>163.19999999999999</v>
      </c>
      <c r="N14" s="23">
        <f t="shared" si="4"/>
        <v>162.19999999999999</v>
      </c>
      <c r="O14" s="23">
        <f t="shared" si="4"/>
        <v>161.19999999999999</v>
      </c>
      <c r="P14" s="23">
        <f t="shared" si="4"/>
        <v>160.19999999999999</v>
      </c>
    </row>
    <row r="15" spans="1:16">
      <c r="A15" s="19" t="s">
        <v>136</v>
      </c>
      <c r="B15" s="19">
        <v>360</v>
      </c>
      <c r="C15" s="24">
        <v>1</v>
      </c>
      <c r="D15" s="25">
        <f t="shared" si="1"/>
        <v>0.94</v>
      </c>
      <c r="E15" s="22">
        <f t="shared" si="5"/>
        <v>328.4</v>
      </c>
      <c r="F15" s="23">
        <f t="shared" si="3"/>
        <v>331.4</v>
      </c>
      <c r="G15" s="23">
        <f t="shared" si="4"/>
        <v>338.4</v>
      </c>
      <c r="H15" s="23">
        <f t="shared" si="4"/>
        <v>337.4</v>
      </c>
      <c r="I15" s="23">
        <f t="shared" si="4"/>
        <v>336.4</v>
      </c>
      <c r="J15" s="23">
        <f t="shared" si="4"/>
        <v>335.4</v>
      </c>
      <c r="K15" s="23">
        <f t="shared" si="4"/>
        <v>334.4</v>
      </c>
      <c r="L15" s="23">
        <f t="shared" si="4"/>
        <v>333.4</v>
      </c>
      <c r="M15" s="23">
        <f t="shared" si="4"/>
        <v>332.4</v>
      </c>
      <c r="N15" s="23">
        <f t="shared" si="4"/>
        <v>331.4</v>
      </c>
      <c r="O15" s="23">
        <f t="shared" si="4"/>
        <v>330.4</v>
      </c>
      <c r="P15" s="23">
        <f t="shared" si="4"/>
        <v>329.4</v>
      </c>
    </row>
    <row r="16" spans="1:16">
      <c r="A16" s="111" t="s">
        <v>48</v>
      </c>
      <c r="B16" s="111"/>
      <c r="C16" s="111"/>
      <c r="D16" s="111"/>
      <c r="E16" s="111"/>
      <c r="F16" s="26">
        <f t="shared" ref="F16:P16" si="6">F9/F$8</f>
        <v>2.593220338983051</v>
      </c>
      <c r="G16" s="27">
        <f t="shared" si="6"/>
        <v>2</v>
      </c>
      <c r="H16" s="27">
        <f t="shared" si="6"/>
        <v>2.0561797752808988</v>
      </c>
      <c r="I16" s="27">
        <f t="shared" si="6"/>
        <v>2.1190476190476191</v>
      </c>
      <c r="J16" s="27">
        <f t="shared" si="6"/>
        <v>2.1898734177215191</v>
      </c>
      <c r="K16" s="27">
        <f t="shared" si="6"/>
        <v>2.2702702702702702</v>
      </c>
      <c r="L16" s="27">
        <f t="shared" si="6"/>
        <v>2.3623188405797104</v>
      </c>
      <c r="M16" s="27">
        <f t="shared" si="6"/>
        <v>2.46875</v>
      </c>
      <c r="N16" s="27">
        <f t="shared" si="6"/>
        <v>2.593220338983051</v>
      </c>
      <c r="O16" s="27">
        <f t="shared" si="6"/>
        <v>2.7407407407407409</v>
      </c>
      <c r="P16" s="27">
        <f t="shared" si="6"/>
        <v>2.8888888888888888</v>
      </c>
    </row>
    <row r="17" spans="1:16">
      <c r="A17" s="111" t="s">
        <v>49</v>
      </c>
      <c r="B17" s="111"/>
      <c r="C17" s="111"/>
      <c r="D17" s="111"/>
      <c r="E17" s="111"/>
      <c r="F17" s="26">
        <f t="shared" ref="F17:P17" si="7">F10/F$8</f>
        <v>2.991525423728814</v>
      </c>
      <c r="G17" s="27">
        <f t="shared" si="7"/>
        <v>2.25</v>
      </c>
      <c r="H17" s="27">
        <f t="shared" si="7"/>
        <v>2.3202247191011236</v>
      </c>
      <c r="I17" s="27">
        <f t="shared" si="7"/>
        <v>2.3988095238095242</v>
      </c>
      <c r="J17" s="27">
        <f t="shared" si="7"/>
        <v>2.4873417721518991</v>
      </c>
      <c r="K17" s="27">
        <f t="shared" si="7"/>
        <v>2.5878378378378382</v>
      </c>
      <c r="L17" s="27">
        <f t="shared" si="7"/>
        <v>2.7028985507246381</v>
      </c>
      <c r="M17" s="27">
        <f t="shared" si="7"/>
        <v>2.8359375000000004</v>
      </c>
      <c r="N17" s="27">
        <f t="shared" si="7"/>
        <v>2.991525423728814</v>
      </c>
      <c r="O17" s="27">
        <f t="shared" si="7"/>
        <v>3.1759259259259265</v>
      </c>
      <c r="P17" s="27">
        <f t="shared" si="7"/>
        <v>3.3636363636363638</v>
      </c>
    </row>
    <row r="18" spans="1:16">
      <c r="A18" s="111" t="s">
        <v>50</v>
      </c>
      <c r="B18" s="111"/>
      <c r="C18" s="111"/>
      <c r="D18" s="111"/>
      <c r="E18" s="111"/>
      <c r="F18" s="26">
        <f t="shared" ref="F18:P18" si="8">F11/F$8</f>
        <v>3.389830508474577</v>
      </c>
      <c r="G18" s="27">
        <f t="shared" si="8"/>
        <v>2.5000000000000004</v>
      </c>
      <c r="H18" s="27">
        <f t="shared" si="8"/>
        <v>2.5842696629213489</v>
      </c>
      <c r="I18" s="27">
        <f t="shared" si="8"/>
        <v>2.6785714285714288</v>
      </c>
      <c r="J18" s="27">
        <f t="shared" si="8"/>
        <v>2.7848101265822791</v>
      </c>
      <c r="K18" s="27">
        <f t="shared" si="8"/>
        <v>2.9054054054054061</v>
      </c>
      <c r="L18" s="27">
        <f t="shared" si="8"/>
        <v>3.0434782608695659</v>
      </c>
      <c r="M18" s="27">
        <f t="shared" si="8"/>
        <v>3.2031250000000009</v>
      </c>
      <c r="N18" s="27">
        <f t="shared" si="8"/>
        <v>3.389830508474577</v>
      </c>
      <c r="O18" s="27">
        <f t="shared" si="8"/>
        <v>3.611111111111112</v>
      </c>
      <c r="P18" s="27">
        <f t="shared" si="8"/>
        <v>3.8383838383838391</v>
      </c>
    </row>
    <row r="19" spans="1:16">
      <c r="A19" s="111" t="s">
        <v>51</v>
      </c>
      <c r="B19" s="111"/>
      <c r="C19" s="111"/>
      <c r="D19" s="111"/>
      <c r="E19" s="111"/>
      <c r="F19" s="26">
        <f t="shared" ref="F19:P19" si="9">F12/F$8</f>
        <v>3.7881355932203395</v>
      </c>
      <c r="G19" s="27">
        <f t="shared" si="9"/>
        <v>2.75</v>
      </c>
      <c r="H19" s="27">
        <f t="shared" si="9"/>
        <v>2.8483146067415732</v>
      </c>
      <c r="I19" s="27">
        <f t="shared" si="9"/>
        <v>2.9583333333333335</v>
      </c>
      <c r="J19" s="27">
        <f t="shared" si="9"/>
        <v>3.0822784810126587</v>
      </c>
      <c r="K19" s="27">
        <f t="shared" si="9"/>
        <v>3.2229729729729732</v>
      </c>
      <c r="L19" s="27">
        <f t="shared" si="9"/>
        <v>3.3840579710144931</v>
      </c>
      <c r="M19" s="27">
        <f t="shared" si="9"/>
        <v>3.5703125000000004</v>
      </c>
      <c r="N19" s="27">
        <f t="shared" si="9"/>
        <v>3.7881355932203395</v>
      </c>
      <c r="O19" s="27">
        <f t="shared" si="9"/>
        <v>4.0462962962962967</v>
      </c>
      <c r="P19" s="27">
        <f t="shared" si="9"/>
        <v>4.3131313131313131</v>
      </c>
    </row>
    <row r="20" spans="1:16">
      <c r="A20" s="111" t="s">
        <v>52</v>
      </c>
      <c r="B20" s="111"/>
      <c r="C20" s="111"/>
      <c r="D20" s="111"/>
      <c r="E20" s="111"/>
      <c r="F20" s="26">
        <f>F13/F$8</f>
        <v>4.186440677966103</v>
      </c>
      <c r="G20" s="26">
        <f t="shared" ref="G20:P20" si="10">G13/G$8</f>
        <v>3.0000000000000004</v>
      </c>
      <c r="H20" s="26">
        <f t="shared" si="10"/>
        <v>3.112359550561798</v>
      </c>
      <c r="I20" s="26">
        <f t="shared" si="10"/>
        <v>3.2380952380952386</v>
      </c>
      <c r="J20" s="26">
        <f t="shared" si="10"/>
        <v>3.3797468354430387</v>
      </c>
      <c r="K20" s="26">
        <f t="shared" si="10"/>
        <v>3.5405405405405412</v>
      </c>
      <c r="L20" s="26">
        <f t="shared" si="10"/>
        <v>3.7246376811594208</v>
      </c>
      <c r="M20" s="26">
        <f t="shared" si="10"/>
        <v>3.9375000000000009</v>
      </c>
      <c r="N20" s="26">
        <f t="shared" si="10"/>
        <v>4.186440677966103</v>
      </c>
      <c r="O20" s="26">
        <f t="shared" si="10"/>
        <v>4.4814814814814827</v>
      </c>
      <c r="P20" s="26">
        <f t="shared" si="10"/>
        <v>4.7878787878787881</v>
      </c>
    </row>
    <row r="21" spans="1:16">
      <c r="A21" s="110" t="s">
        <v>53</v>
      </c>
      <c r="B21" s="110"/>
      <c r="C21" s="110"/>
      <c r="D21" s="110"/>
      <c r="E21" s="110"/>
      <c r="F21" s="103">
        <f t="shared" ref="F21:P21" si="11">180/F9</f>
        <v>5.8823529411764719</v>
      </c>
      <c r="G21" s="103">
        <f t="shared" si="11"/>
        <v>4.7872340425531918</v>
      </c>
      <c r="H21" s="103">
        <f t="shared" si="11"/>
        <v>4.9180327868852469</v>
      </c>
      <c r="I21" s="103">
        <f t="shared" si="11"/>
        <v>5.0561797752809001</v>
      </c>
      <c r="J21" s="103">
        <f t="shared" si="11"/>
        <v>5.2023121387283249</v>
      </c>
      <c r="K21" s="103">
        <f t="shared" si="11"/>
        <v>5.3571428571428577</v>
      </c>
      <c r="L21" s="103">
        <f t="shared" si="11"/>
        <v>5.5214723926380378</v>
      </c>
      <c r="M21" s="103">
        <f t="shared" si="11"/>
        <v>5.6962025316455707</v>
      </c>
      <c r="N21" s="103">
        <f t="shared" si="11"/>
        <v>5.8823529411764719</v>
      </c>
      <c r="O21" s="103">
        <f t="shared" si="11"/>
        <v>6.0810810810810825</v>
      </c>
      <c r="P21" s="103">
        <f t="shared" si="11"/>
        <v>6.2937062937062951</v>
      </c>
    </row>
    <row r="22" spans="1:16">
      <c r="A22" s="110" t="s">
        <v>54</v>
      </c>
      <c r="B22" s="110"/>
      <c r="C22" s="110"/>
      <c r="D22" s="110"/>
      <c r="E22" s="110"/>
      <c r="F22" s="103">
        <f t="shared" ref="F22:P22" si="12">180/F10</f>
        <v>5.0991501416430598</v>
      </c>
      <c r="G22" s="103">
        <f t="shared" si="12"/>
        <v>4.2553191489361701</v>
      </c>
      <c r="H22" s="103">
        <f t="shared" si="12"/>
        <v>4.358353510895884</v>
      </c>
      <c r="I22" s="103">
        <f t="shared" si="12"/>
        <v>4.4665012406947895</v>
      </c>
      <c r="J22" s="103">
        <f t="shared" si="12"/>
        <v>4.5801526717557257</v>
      </c>
      <c r="K22" s="103">
        <f t="shared" si="12"/>
        <v>4.6997389033942563</v>
      </c>
      <c r="L22" s="103">
        <f t="shared" si="12"/>
        <v>4.8257372654155501</v>
      </c>
      <c r="M22" s="103">
        <f t="shared" si="12"/>
        <v>4.9586776859504136</v>
      </c>
      <c r="N22" s="103">
        <f t="shared" si="12"/>
        <v>5.0991501416430598</v>
      </c>
      <c r="O22" s="103">
        <f t="shared" si="12"/>
        <v>5.2478134110787176</v>
      </c>
      <c r="P22" s="103">
        <f t="shared" si="12"/>
        <v>5.4054054054054061</v>
      </c>
    </row>
    <row r="23" spans="1:16">
      <c r="A23" s="110" t="s">
        <v>55</v>
      </c>
      <c r="B23" s="110"/>
      <c r="C23" s="110"/>
      <c r="D23" s="110"/>
      <c r="E23" s="110"/>
      <c r="F23" s="103">
        <f t="shared" ref="F23:P23" si="13">180/F11</f>
        <v>4.5</v>
      </c>
      <c r="G23" s="103">
        <f t="shared" si="13"/>
        <v>3.8297872340425534</v>
      </c>
      <c r="H23" s="103">
        <f t="shared" si="13"/>
        <v>3.9130434782608696</v>
      </c>
      <c r="I23" s="103">
        <f t="shared" si="13"/>
        <v>4</v>
      </c>
      <c r="J23" s="103">
        <f t="shared" si="13"/>
        <v>4.0909090909090908</v>
      </c>
      <c r="K23" s="103">
        <f t="shared" si="13"/>
        <v>4.1860465116279073</v>
      </c>
      <c r="L23" s="103">
        <f t="shared" si="13"/>
        <v>4.2857142857142856</v>
      </c>
      <c r="M23" s="103">
        <f t="shared" si="13"/>
        <v>4.3902439024390247</v>
      </c>
      <c r="N23" s="103">
        <f t="shared" si="13"/>
        <v>4.5</v>
      </c>
      <c r="O23" s="103">
        <f t="shared" si="13"/>
        <v>4.615384615384615</v>
      </c>
      <c r="P23" s="103">
        <f t="shared" si="13"/>
        <v>4.7368421052631575</v>
      </c>
    </row>
    <row r="24" spans="1:16">
      <c r="A24" s="110" t="s">
        <v>56</v>
      </c>
      <c r="B24" s="110"/>
      <c r="C24" s="110"/>
      <c r="D24" s="110"/>
      <c r="E24" s="110"/>
      <c r="F24" s="103">
        <f t="shared" ref="F24:P24" si="14">180/F12</f>
        <v>4.026845637583893</v>
      </c>
      <c r="G24" s="103">
        <f t="shared" si="14"/>
        <v>3.4816247582205033</v>
      </c>
      <c r="H24" s="103">
        <f t="shared" si="14"/>
        <v>3.550295857988166</v>
      </c>
      <c r="I24" s="103">
        <f t="shared" si="14"/>
        <v>3.6217303822937628</v>
      </c>
      <c r="J24" s="103">
        <f t="shared" si="14"/>
        <v>3.6960985626283369</v>
      </c>
      <c r="K24" s="103">
        <f t="shared" si="14"/>
        <v>3.7735849056603779</v>
      </c>
      <c r="L24" s="103">
        <f t="shared" si="14"/>
        <v>3.8543897216274092</v>
      </c>
      <c r="M24" s="103">
        <f t="shared" si="14"/>
        <v>3.9387308533916854</v>
      </c>
      <c r="N24" s="103">
        <f t="shared" si="14"/>
        <v>4.026845637583893</v>
      </c>
      <c r="O24" s="103">
        <f t="shared" si="14"/>
        <v>4.1189931350114417</v>
      </c>
      <c r="P24" s="103">
        <f t="shared" si="14"/>
        <v>4.2154566744730682</v>
      </c>
    </row>
    <row r="25" spans="1:16">
      <c r="A25" s="110" t="s">
        <v>57</v>
      </c>
      <c r="B25" s="110"/>
      <c r="C25" s="110"/>
      <c r="D25" s="110"/>
      <c r="E25" s="110"/>
      <c r="F25" s="103">
        <f>180/F13</f>
        <v>3.6437246963562755</v>
      </c>
      <c r="G25" s="103">
        <f t="shared" ref="G25:P25" si="15">180/G13</f>
        <v>3.1914893617021276</v>
      </c>
      <c r="H25" s="103">
        <f t="shared" si="15"/>
        <v>3.2490974729241877</v>
      </c>
      <c r="I25" s="103">
        <f t="shared" si="15"/>
        <v>3.3088235294117649</v>
      </c>
      <c r="J25" s="103">
        <f t="shared" si="15"/>
        <v>3.3707865168539328</v>
      </c>
      <c r="K25" s="103">
        <f t="shared" si="15"/>
        <v>3.4351145038167941</v>
      </c>
      <c r="L25" s="103">
        <f t="shared" si="15"/>
        <v>3.5019455252918288</v>
      </c>
      <c r="M25" s="103">
        <f t="shared" si="15"/>
        <v>3.5714285714285716</v>
      </c>
      <c r="N25" s="103">
        <f t="shared" si="15"/>
        <v>3.6437246963562755</v>
      </c>
      <c r="O25" s="103">
        <f t="shared" si="15"/>
        <v>3.71900826446281</v>
      </c>
      <c r="P25" s="103">
        <f t="shared" si="15"/>
        <v>3.79746835443038</v>
      </c>
    </row>
  </sheetData>
  <mergeCells count="11">
    <mergeCell ref="A25:E25"/>
    <mergeCell ref="A16:E16"/>
    <mergeCell ref="A17:E17"/>
    <mergeCell ref="A18:E18"/>
    <mergeCell ref="A19:E19"/>
    <mergeCell ref="A20:E20"/>
    <mergeCell ref="A2:B2"/>
    <mergeCell ref="A21:E21"/>
    <mergeCell ref="A22:E22"/>
    <mergeCell ref="A23:E23"/>
    <mergeCell ref="A24:E24"/>
  </mergeCells>
  <phoneticPr fontId="4" type="noConversion"/>
  <dataValidations count="1">
    <dataValidation type="list" allowBlank="1" showErrorMessage="1" sqref="C2" xr:uid="{9534B1E7-FD6B-4CD5-A57C-19BEC51E69FA}">
      <formula1>"3%,4%,5%,6%"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DAF4-2542-408C-AC40-E434DBB66F6C}">
  <dimension ref="A2:W54"/>
  <sheetViews>
    <sheetView zoomScale="90" zoomScaleNormal="90" workbookViewId="0">
      <selection activeCell="F31" sqref="F31"/>
    </sheetView>
  </sheetViews>
  <sheetFormatPr defaultRowHeight="15.75"/>
  <cols>
    <col min="1" max="2" width="9" style="61"/>
    <col min="3" max="3" width="12.125" style="61" bestFit="1" customWidth="1"/>
    <col min="4" max="16384" width="9" style="61"/>
  </cols>
  <sheetData>
    <row r="2" spans="1:23">
      <c r="A2" s="62"/>
    </row>
    <row r="3" spans="1:23">
      <c r="K3" s="61">
        <v>-7</v>
      </c>
      <c r="M3" s="61">
        <v>-4</v>
      </c>
      <c r="O3" s="61">
        <v>0</v>
      </c>
    </row>
    <row r="4" spans="1:23">
      <c r="K4" s="62" t="s">
        <v>76</v>
      </c>
      <c r="L4" s="61">
        <v>30.6</v>
      </c>
      <c r="M4" s="62" t="s">
        <v>76</v>
      </c>
      <c r="N4" s="61">
        <v>33.6</v>
      </c>
      <c r="O4" s="62" t="s">
        <v>76</v>
      </c>
      <c r="P4" s="61">
        <v>37.6</v>
      </c>
    </row>
    <row r="5" spans="1:23">
      <c r="C5" s="84" t="s">
        <v>99</v>
      </c>
      <c r="D5" s="82">
        <v>3</v>
      </c>
      <c r="E5" s="84" t="s">
        <v>100</v>
      </c>
      <c r="K5" s="62" t="s">
        <v>103</v>
      </c>
      <c r="L5" s="62" t="s">
        <v>95</v>
      </c>
      <c r="M5" s="62" t="s">
        <v>103</v>
      </c>
      <c r="N5" s="62" t="s">
        <v>95</v>
      </c>
      <c r="O5" s="62" t="s">
        <v>103</v>
      </c>
      <c r="P5" s="62" t="s">
        <v>95</v>
      </c>
    </row>
    <row r="6" spans="1:23">
      <c r="C6" s="84" t="s">
        <v>94</v>
      </c>
      <c r="D6" s="84">
        <v>33.6</v>
      </c>
      <c r="E6" s="84" t="s">
        <v>100</v>
      </c>
      <c r="J6" s="61">
        <v>0</v>
      </c>
      <c r="K6" s="61">
        <v>0</v>
      </c>
      <c r="L6" s="87">
        <v>0</v>
      </c>
      <c r="M6" s="61">
        <v>0</v>
      </c>
      <c r="N6" s="87">
        <v>0</v>
      </c>
      <c r="O6" s="61">
        <v>0</v>
      </c>
      <c r="P6" s="87">
        <v>0</v>
      </c>
    </row>
    <row r="7" spans="1:23">
      <c r="C7" s="84" t="s">
        <v>101</v>
      </c>
      <c r="D7" s="82">
        <v>6</v>
      </c>
      <c r="E7" s="84" t="s">
        <v>102</v>
      </c>
      <c r="F7" s="62"/>
      <c r="G7" s="62"/>
      <c r="H7" s="62"/>
      <c r="J7" s="61">
        <v>0</v>
      </c>
      <c r="K7" s="61">
        <v>660</v>
      </c>
      <c r="L7" s="87">
        <v>0.05</v>
      </c>
      <c r="M7" s="61">
        <v>660</v>
      </c>
      <c r="N7" s="87">
        <v>0.05</v>
      </c>
      <c r="O7" s="61">
        <v>660</v>
      </c>
      <c r="P7" s="87">
        <v>0.05</v>
      </c>
    </row>
    <row r="8" spans="1:23">
      <c r="C8" s="84"/>
      <c r="D8" s="84">
        <v>1</v>
      </c>
      <c r="E8" s="84">
        <v>2</v>
      </c>
      <c r="F8" s="84">
        <v>3</v>
      </c>
      <c r="G8" s="84">
        <v>4</v>
      </c>
      <c r="H8" s="84" t="s">
        <v>93</v>
      </c>
      <c r="J8" s="61">
        <v>0</v>
      </c>
      <c r="K8" s="61">
        <v>1890</v>
      </c>
      <c r="L8" s="87">
        <v>0.1</v>
      </c>
      <c r="M8" s="61">
        <v>1890</v>
      </c>
      <c r="N8" s="87">
        <v>0.1</v>
      </c>
      <c r="O8" s="61">
        <v>1890</v>
      </c>
      <c r="P8" s="87">
        <v>0.1</v>
      </c>
      <c r="V8" s="61">
        <v>7</v>
      </c>
      <c r="W8" s="61">
        <v>162</v>
      </c>
    </row>
    <row r="9" spans="1:23">
      <c r="C9" s="84" t="s">
        <v>92</v>
      </c>
      <c r="D9" s="34">
        <v>660</v>
      </c>
      <c r="E9" s="34">
        <v>1890</v>
      </c>
      <c r="F9" s="34">
        <v>2450</v>
      </c>
      <c r="G9" s="58">
        <v>3300</v>
      </c>
      <c r="H9" s="84">
        <v>13300</v>
      </c>
      <c r="J9" s="61">
        <v>0</v>
      </c>
      <c r="K9" s="61">
        <v>2450</v>
      </c>
      <c r="L9" s="87">
        <v>0.15</v>
      </c>
      <c r="M9" s="61">
        <v>2450</v>
      </c>
      <c r="N9" s="87">
        <v>0.15</v>
      </c>
      <c r="O9" s="61">
        <v>2450</v>
      </c>
      <c r="P9" s="87">
        <v>0.15</v>
      </c>
      <c r="V9" s="61">
        <v>6</v>
      </c>
      <c r="W9" s="61">
        <v>163</v>
      </c>
    </row>
    <row r="10" spans="1:23">
      <c r="C10" s="84" t="s">
        <v>96</v>
      </c>
      <c r="D10" s="84">
        <f>E9-D9</f>
        <v>1230</v>
      </c>
      <c r="E10" s="84">
        <f>F9-E9</f>
        <v>560</v>
      </c>
      <c r="F10" s="84">
        <f>G9-F9</f>
        <v>850</v>
      </c>
      <c r="G10" s="84">
        <f>H9-G9</f>
        <v>10000</v>
      </c>
      <c r="H10" s="62"/>
      <c r="J10" s="61">
        <v>0</v>
      </c>
      <c r="K10" s="61">
        <v>3300</v>
      </c>
      <c r="L10" s="87">
        <v>0.2</v>
      </c>
      <c r="M10" s="61">
        <v>3300</v>
      </c>
      <c r="N10" s="87">
        <v>0.2</v>
      </c>
      <c r="O10" s="61">
        <v>3300</v>
      </c>
      <c r="P10" s="87">
        <v>0.2</v>
      </c>
      <c r="V10" s="61">
        <v>5</v>
      </c>
      <c r="W10" s="61">
        <v>164</v>
      </c>
    </row>
    <row r="11" spans="1:23">
      <c r="C11" s="84" t="s">
        <v>95</v>
      </c>
      <c r="D11" s="85">
        <v>0.05</v>
      </c>
      <c r="E11" s="85">
        <v>0.1</v>
      </c>
      <c r="F11" s="85">
        <v>0.15</v>
      </c>
      <c r="G11" s="85">
        <v>0.2</v>
      </c>
      <c r="H11" s="62"/>
      <c r="J11" s="61">
        <v>0</v>
      </c>
      <c r="K11" s="61">
        <v>13300</v>
      </c>
      <c r="L11" s="87">
        <v>0.2</v>
      </c>
      <c r="M11" s="61">
        <v>13300</v>
      </c>
      <c r="N11" s="87">
        <v>0.2</v>
      </c>
      <c r="O11" s="61">
        <v>13300</v>
      </c>
      <c r="P11" s="87">
        <v>0.2</v>
      </c>
      <c r="V11" s="61">
        <v>4</v>
      </c>
      <c r="W11" s="61">
        <v>165</v>
      </c>
    </row>
    <row r="12" spans="1:23">
      <c r="C12" s="82"/>
      <c r="D12" s="84">
        <f>D10*D11</f>
        <v>61.5</v>
      </c>
      <c r="E12" s="84">
        <f>E10*E11</f>
        <v>56</v>
      </c>
      <c r="F12" s="84">
        <f>F10*F11</f>
        <v>127.5</v>
      </c>
      <c r="G12" s="84">
        <f>G10*G11</f>
        <v>2000</v>
      </c>
      <c r="J12" s="61">
        <v>0</v>
      </c>
      <c r="K12" s="61">
        <v>13301</v>
      </c>
      <c r="L12" s="87">
        <v>0</v>
      </c>
      <c r="M12" s="61">
        <v>13301</v>
      </c>
      <c r="N12" s="87">
        <v>0</v>
      </c>
      <c r="O12" s="61">
        <v>13301</v>
      </c>
      <c r="P12" s="87">
        <v>0</v>
      </c>
      <c r="V12" s="61">
        <v>3</v>
      </c>
      <c r="W12" s="61">
        <v>166</v>
      </c>
    </row>
    <row r="13" spans="1:23">
      <c r="C13" s="84" t="s">
        <v>98</v>
      </c>
      <c r="D13" s="84">
        <f>SUM(D12:G12)</f>
        <v>2245</v>
      </c>
      <c r="J13" s="61">
        <v>1</v>
      </c>
      <c r="K13" s="61">
        <f>(L$4*$J13*1000)+K6</f>
        <v>30600</v>
      </c>
      <c r="L13" s="87">
        <v>0</v>
      </c>
      <c r="M13" s="61">
        <f>(N$4*$J13*1000)+M6</f>
        <v>33600</v>
      </c>
      <c r="N13" s="87">
        <v>0</v>
      </c>
      <c r="O13" s="61">
        <f>(P$4*$J13*1000)+O6</f>
        <v>37600</v>
      </c>
      <c r="P13" s="87">
        <v>0</v>
      </c>
      <c r="V13" s="61">
        <v>2</v>
      </c>
      <c r="W13" s="61">
        <v>167</v>
      </c>
    </row>
    <row r="14" spans="1:23">
      <c r="C14" s="84" t="s">
        <v>97</v>
      </c>
      <c r="D14" s="86">
        <f xml:space="preserve"> (D13*D7)/D5/1000</f>
        <v>4.49</v>
      </c>
      <c r="J14" s="61">
        <v>1</v>
      </c>
      <c r="K14" s="61">
        <f t="shared" ref="K14:M19" si="0">(L$4*$J14*1000)+K7</f>
        <v>31260</v>
      </c>
      <c r="L14" s="87">
        <v>0.05</v>
      </c>
      <c r="M14" s="61">
        <f t="shared" si="0"/>
        <v>34260</v>
      </c>
      <c r="N14" s="87">
        <v>0.05</v>
      </c>
      <c r="O14" s="61">
        <f t="shared" ref="O14" si="1">(P$4*$J14*1000)+O7</f>
        <v>38260</v>
      </c>
      <c r="P14" s="87">
        <v>0.05</v>
      </c>
      <c r="V14" s="61">
        <v>1</v>
      </c>
      <c r="W14" s="61">
        <v>168</v>
      </c>
    </row>
    <row r="15" spans="1:23">
      <c r="J15" s="61">
        <v>1</v>
      </c>
      <c r="K15" s="61">
        <f t="shared" si="0"/>
        <v>32490</v>
      </c>
      <c r="L15" s="87">
        <v>0.1</v>
      </c>
      <c r="M15" s="61">
        <f t="shared" si="0"/>
        <v>35490</v>
      </c>
      <c r="N15" s="87">
        <v>0.1</v>
      </c>
      <c r="O15" s="61">
        <f t="shared" ref="O15" si="2">(P$4*$J15*1000)+O8</f>
        <v>39490</v>
      </c>
      <c r="P15" s="87">
        <v>0.1</v>
      </c>
      <c r="V15" s="61">
        <v>0</v>
      </c>
      <c r="W15" s="61">
        <v>169</v>
      </c>
    </row>
    <row r="16" spans="1:23">
      <c r="J16" s="61">
        <v>1</v>
      </c>
      <c r="K16" s="61">
        <f t="shared" si="0"/>
        <v>33050</v>
      </c>
      <c r="L16" s="87">
        <v>0.15</v>
      </c>
      <c r="M16" s="61">
        <f t="shared" si="0"/>
        <v>36050</v>
      </c>
      <c r="N16" s="87">
        <v>0.15</v>
      </c>
      <c r="O16" s="61">
        <f t="shared" ref="O16" si="3">(P$4*$J16*1000)+O9</f>
        <v>40050</v>
      </c>
      <c r="P16" s="87">
        <v>0.15</v>
      </c>
    </row>
    <row r="17" spans="10:16">
      <c r="J17" s="61">
        <v>1</v>
      </c>
      <c r="K17" s="61">
        <f t="shared" si="0"/>
        <v>33900</v>
      </c>
      <c r="L17" s="87">
        <v>0.2</v>
      </c>
      <c r="M17" s="61">
        <f t="shared" si="0"/>
        <v>36900</v>
      </c>
      <c r="N17" s="87">
        <v>0.2</v>
      </c>
      <c r="O17" s="61">
        <f t="shared" ref="O17" si="4">(P$4*$J17*1000)+O10</f>
        <v>40900</v>
      </c>
      <c r="P17" s="87">
        <v>0.2</v>
      </c>
    </row>
    <row r="18" spans="10:16">
      <c r="J18" s="61">
        <v>1</v>
      </c>
      <c r="K18" s="61">
        <f t="shared" si="0"/>
        <v>43900</v>
      </c>
      <c r="L18" s="87">
        <v>0.2</v>
      </c>
      <c r="M18" s="61">
        <f t="shared" si="0"/>
        <v>46900</v>
      </c>
      <c r="N18" s="87">
        <v>0.2</v>
      </c>
      <c r="O18" s="61">
        <f t="shared" ref="O18" si="5">(P$4*$J18*1000)+O11</f>
        <v>50900</v>
      </c>
      <c r="P18" s="87">
        <v>0.2</v>
      </c>
    </row>
    <row r="19" spans="10:16">
      <c r="J19" s="61">
        <v>1</v>
      </c>
      <c r="K19" s="61">
        <f t="shared" si="0"/>
        <v>43901</v>
      </c>
      <c r="L19" s="87">
        <v>0</v>
      </c>
      <c r="M19" s="61">
        <f t="shared" si="0"/>
        <v>46901</v>
      </c>
      <c r="N19" s="87">
        <v>0</v>
      </c>
      <c r="O19" s="61">
        <f t="shared" ref="O19" si="6">(P$4*$J19*1000)+O12</f>
        <v>50901</v>
      </c>
      <c r="P19" s="87">
        <v>0</v>
      </c>
    </row>
    <row r="20" spans="10:16">
      <c r="J20" s="61">
        <v>2</v>
      </c>
      <c r="K20" s="61">
        <f>(L$4*$J20*1000)+K6</f>
        <v>61200</v>
      </c>
      <c r="L20" s="87">
        <v>0</v>
      </c>
      <c r="M20" s="61">
        <f>(N$4*$J20*1000)+M6</f>
        <v>67200</v>
      </c>
      <c r="N20" s="87">
        <v>0</v>
      </c>
      <c r="O20" s="61">
        <f>(P$4*$J20*1000)+O6</f>
        <v>75200</v>
      </c>
      <c r="P20" s="87">
        <v>0</v>
      </c>
    </row>
    <row r="21" spans="10:16">
      <c r="J21" s="61">
        <v>2</v>
      </c>
      <c r="K21" s="61">
        <f t="shared" ref="K21:M26" si="7">(L$4*$J21*1000)+K7</f>
        <v>61860</v>
      </c>
      <c r="L21" s="87">
        <v>0.05</v>
      </c>
      <c r="M21" s="61">
        <f t="shared" si="7"/>
        <v>67860</v>
      </c>
      <c r="N21" s="87">
        <v>0.05</v>
      </c>
      <c r="O21" s="61">
        <f t="shared" ref="O21" si="8">(P$4*$J21*1000)+O7</f>
        <v>75860</v>
      </c>
      <c r="P21" s="87">
        <v>0.05</v>
      </c>
    </row>
    <row r="22" spans="10:16">
      <c r="J22" s="61">
        <v>2</v>
      </c>
      <c r="K22" s="61">
        <f t="shared" si="7"/>
        <v>63090</v>
      </c>
      <c r="L22" s="87">
        <v>0.1</v>
      </c>
      <c r="M22" s="61">
        <f t="shared" si="7"/>
        <v>69090</v>
      </c>
      <c r="N22" s="87">
        <v>0.1</v>
      </c>
      <c r="O22" s="61">
        <f t="shared" ref="O22" si="9">(P$4*$J22*1000)+O8</f>
        <v>77090</v>
      </c>
      <c r="P22" s="87">
        <v>0.1</v>
      </c>
    </row>
    <row r="23" spans="10:16">
      <c r="J23" s="61">
        <v>2</v>
      </c>
      <c r="K23" s="61">
        <f t="shared" si="7"/>
        <v>63650</v>
      </c>
      <c r="L23" s="87">
        <v>0.15</v>
      </c>
      <c r="M23" s="61">
        <f t="shared" si="7"/>
        <v>69650</v>
      </c>
      <c r="N23" s="87">
        <v>0.15</v>
      </c>
      <c r="O23" s="61">
        <f t="shared" ref="O23" si="10">(P$4*$J23*1000)+O9</f>
        <v>77650</v>
      </c>
      <c r="P23" s="87">
        <v>0.15</v>
      </c>
    </row>
    <row r="24" spans="10:16">
      <c r="J24" s="61">
        <v>2</v>
      </c>
      <c r="K24" s="61">
        <f t="shared" si="7"/>
        <v>64500</v>
      </c>
      <c r="L24" s="87">
        <v>0.2</v>
      </c>
      <c r="M24" s="61">
        <f t="shared" si="7"/>
        <v>70500</v>
      </c>
      <c r="N24" s="87">
        <v>0.2</v>
      </c>
      <c r="O24" s="61">
        <f t="shared" ref="O24" si="11">(P$4*$J24*1000)+O10</f>
        <v>78500</v>
      </c>
      <c r="P24" s="87">
        <v>0.2</v>
      </c>
    </row>
    <row r="25" spans="10:16">
      <c r="J25" s="61">
        <v>2</v>
      </c>
      <c r="K25" s="61">
        <f t="shared" si="7"/>
        <v>74500</v>
      </c>
      <c r="L25" s="87">
        <v>0.2</v>
      </c>
      <c r="M25" s="61">
        <f t="shared" si="7"/>
        <v>80500</v>
      </c>
      <c r="N25" s="87">
        <v>0.2</v>
      </c>
      <c r="O25" s="61">
        <f t="shared" ref="O25" si="12">(P$4*$J25*1000)+O11</f>
        <v>88500</v>
      </c>
      <c r="P25" s="87">
        <v>0.2</v>
      </c>
    </row>
    <row r="26" spans="10:16">
      <c r="J26" s="61">
        <v>2</v>
      </c>
      <c r="K26" s="61">
        <f t="shared" si="7"/>
        <v>74501</v>
      </c>
      <c r="L26" s="87">
        <v>0</v>
      </c>
      <c r="M26" s="61">
        <f t="shared" si="7"/>
        <v>80501</v>
      </c>
      <c r="N26" s="87">
        <v>0</v>
      </c>
      <c r="O26" s="61">
        <f t="shared" ref="O26" si="13">(P$4*$J26*1000)+O12</f>
        <v>88501</v>
      </c>
      <c r="P26" s="87">
        <v>0</v>
      </c>
    </row>
    <row r="27" spans="10:16">
      <c r="J27" s="61">
        <v>3</v>
      </c>
      <c r="K27" s="61">
        <f>(L$4*$J27*1000)+K6</f>
        <v>91800.000000000015</v>
      </c>
      <c r="L27" s="87">
        <v>0</v>
      </c>
      <c r="M27" s="61">
        <f>(N$4*$J27*1000)+M6</f>
        <v>100800.00000000001</v>
      </c>
      <c r="N27" s="87">
        <v>0</v>
      </c>
      <c r="O27" s="61">
        <f>(P$4*$J27*1000)+O6</f>
        <v>112800.00000000001</v>
      </c>
      <c r="P27" s="87">
        <v>0</v>
      </c>
    </row>
    <row r="28" spans="10:16">
      <c r="J28" s="61">
        <v>3</v>
      </c>
      <c r="K28" s="61">
        <f t="shared" ref="K28:M33" si="14">(L$4*$J28*1000)+K7</f>
        <v>92460.000000000015</v>
      </c>
      <c r="L28" s="87">
        <v>0.05</v>
      </c>
      <c r="M28" s="61">
        <f t="shared" si="14"/>
        <v>101460.00000000001</v>
      </c>
      <c r="N28" s="87">
        <v>0.05</v>
      </c>
      <c r="O28" s="61">
        <f t="shared" ref="O28" si="15">(P$4*$J28*1000)+O7</f>
        <v>113460.00000000001</v>
      </c>
      <c r="P28" s="87">
        <v>0.05</v>
      </c>
    </row>
    <row r="29" spans="10:16">
      <c r="J29" s="61">
        <v>3</v>
      </c>
      <c r="K29" s="61">
        <f t="shared" si="14"/>
        <v>93690.000000000015</v>
      </c>
      <c r="L29" s="87">
        <v>0.1</v>
      </c>
      <c r="M29" s="61">
        <f t="shared" si="14"/>
        <v>102690.00000000001</v>
      </c>
      <c r="N29" s="87">
        <v>0.1</v>
      </c>
      <c r="O29" s="61">
        <f t="shared" ref="O29" si="16">(P$4*$J29*1000)+O8</f>
        <v>114690.00000000001</v>
      </c>
      <c r="P29" s="87">
        <v>0.1</v>
      </c>
    </row>
    <row r="30" spans="10:16">
      <c r="J30" s="61">
        <v>3</v>
      </c>
      <c r="K30" s="61">
        <f t="shared" si="14"/>
        <v>94250.000000000015</v>
      </c>
      <c r="L30" s="87">
        <v>0.15</v>
      </c>
      <c r="M30" s="61">
        <f t="shared" si="14"/>
        <v>103250.00000000001</v>
      </c>
      <c r="N30" s="87">
        <v>0.15</v>
      </c>
      <c r="O30" s="61">
        <f t="shared" ref="O30" si="17">(P$4*$J30*1000)+O9</f>
        <v>115250.00000000001</v>
      </c>
      <c r="P30" s="87">
        <v>0.15</v>
      </c>
    </row>
    <row r="31" spans="10:16">
      <c r="J31" s="61">
        <v>3</v>
      </c>
      <c r="K31" s="61">
        <f t="shared" si="14"/>
        <v>95100.000000000015</v>
      </c>
      <c r="L31" s="87">
        <v>0.2</v>
      </c>
      <c r="M31" s="61">
        <f t="shared" si="14"/>
        <v>104100.00000000001</v>
      </c>
      <c r="N31" s="87">
        <v>0.2</v>
      </c>
      <c r="O31" s="61">
        <f t="shared" ref="O31" si="18">(P$4*$J31*1000)+O10</f>
        <v>116100.00000000001</v>
      </c>
      <c r="P31" s="87">
        <v>0.2</v>
      </c>
    </row>
    <row r="32" spans="10:16">
      <c r="J32" s="61">
        <v>3</v>
      </c>
      <c r="K32" s="61">
        <f t="shared" si="14"/>
        <v>105100.00000000001</v>
      </c>
      <c r="L32" s="87">
        <v>0.2</v>
      </c>
      <c r="M32" s="61">
        <f t="shared" si="14"/>
        <v>114100.00000000001</v>
      </c>
      <c r="N32" s="87">
        <v>0.2</v>
      </c>
      <c r="O32" s="61">
        <f t="shared" ref="O32" si="19">(P$4*$J32*1000)+O11</f>
        <v>126100.00000000001</v>
      </c>
      <c r="P32" s="87">
        <v>0.2</v>
      </c>
    </row>
    <row r="33" spans="9:16">
      <c r="J33" s="61">
        <v>3</v>
      </c>
      <c r="K33" s="61">
        <f t="shared" si="14"/>
        <v>105101.00000000001</v>
      </c>
      <c r="L33" s="87">
        <v>0</v>
      </c>
      <c r="M33" s="61">
        <f t="shared" si="14"/>
        <v>114101.00000000001</v>
      </c>
      <c r="N33" s="87">
        <v>0</v>
      </c>
      <c r="O33" s="61">
        <f t="shared" ref="O33" si="20">(P$4*$J33*1000)+O12</f>
        <v>126101.00000000001</v>
      </c>
      <c r="P33" s="87">
        <v>0</v>
      </c>
    </row>
    <row r="34" spans="9:16">
      <c r="J34" s="61">
        <v>4</v>
      </c>
      <c r="K34" s="61">
        <f>(L$4*$J34*1000)+K6</f>
        <v>122400</v>
      </c>
      <c r="L34" s="87">
        <v>0</v>
      </c>
      <c r="M34" s="61">
        <f>(N$4*$J34*1000)+M6</f>
        <v>134400</v>
      </c>
      <c r="N34" s="87">
        <v>0</v>
      </c>
      <c r="O34" s="61">
        <f>(P$4*$J34*1000)+O6</f>
        <v>150400</v>
      </c>
      <c r="P34" s="87">
        <v>0</v>
      </c>
    </row>
    <row r="35" spans="9:16">
      <c r="J35" s="61">
        <v>4</v>
      </c>
      <c r="K35" s="61">
        <f t="shared" ref="K35:M40" si="21">(L$4*$J35*1000)+K7</f>
        <v>123060</v>
      </c>
      <c r="L35" s="87">
        <v>0.05</v>
      </c>
      <c r="M35" s="61">
        <f t="shared" si="21"/>
        <v>135060</v>
      </c>
      <c r="N35" s="87">
        <v>0.05</v>
      </c>
      <c r="O35" s="61">
        <f t="shared" ref="O35" si="22">(P$4*$J35*1000)+O7</f>
        <v>151060</v>
      </c>
      <c r="P35" s="87">
        <v>0.05</v>
      </c>
    </row>
    <row r="36" spans="9:16">
      <c r="J36" s="61">
        <v>4</v>
      </c>
      <c r="K36" s="61">
        <f t="shared" si="21"/>
        <v>124290</v>
      </c>
      <c r="L36" s="87">
        <v>0.1</v>
      </c>
      <c r="M36" s="61">
        <f t="shared" si="21"/>
        <v>136290</v>
      </c>
      <c r="N36" s="87">
        <v>0.1</v>
      </c>
      <c r="O36" s="61">
        <f t="shared" ref="O36" si="23">(P$4*$J36*1000)+O8</f>
        <v>152290</v>
      </c>
      <c r="P36" s="87">
        <v>0.1</v>
      </c>
    </row>
    <row r="37" spans="9:16">
      <c r="J37" s="61">
        <v>4</v>
      </c>
      <c r="K37" s="61">
        <f t="shared" si="21"/>
        <v>124850</v>
      </c>
      <c r="L37" s="87">
        <v>0.15</v>
      </c>
      <c r="M37" s="61">
        <f t="shared" si="21"/>
        <v>136850</v>
      </c>
      <c r="N37" s="87">
        <v>0.15</v>
      </c>
      <c r="O37" s="61">
        <f t="shared" ref="O37" si="24">(P$4*$J37*1000)+O9</f>
        <v>152850</v>
      </c>
      <c r="P37" s="87">
        <v>0.15</v>
      </c>
    </row>
    <row r="38" spans="9:16">
      <c r="J38" s="61">
        <v>4</v>
      </c>
      <c r="K38" s="61">
        <f t="shared" si="21"/>
        <v>125700</v>
      </c>
      <c r="L38" s="87">
        <v>0.2</v>
      </c>
      <c r="M38" s="61">
        <f t="shared" si="21"/>
        <v>137700</v>
      </c>
      <c r="N38" s="87">
        <v>0.2</v>
      </c>
      <c r="O38" s="61">
        <f t="shared" ref="O38" si="25">(P$4*$J38*1000)+O10</f>
        <v>153700</v>
      </c>
      <c r="P38" s="87">
        <v>0.2</v>
      </c>
    </row>
    <row r="39" spans="9:16">
      <c r="J39" s="61">
        <v>4</v>
      </c>
      <c r="K39" s="61">
        <f t="shared" si="21"/>
        <v>135700</v>
      </c>
      <c r="L39" s="87">
        <v>0.2</v>
      </c>
      <c r="M39" s="61">
        <f t="shared" si="21"/>
        <v>147700</v>
      </c>
      <c r="N39" s="87">
        <v>0.2</v>
      </c>
      <c r="O39" s="61">
        <f t="shared" ref="O39" si="26">(P$4*$J39*1000)+O11</f>
        <v>163700</v>
      </c>
      <c r="P39" s="87">
        <v>0.2</v>
      </c>
    </row>
    <row r="40" spans="9:16">
      <c r="J40" s="61">
        <v>4</v>
      </c>
      <c r="K40" s="61">
        <f t="shared" si="21"/>
        <v>135701</v>
      </c>
      <c r="L40" s="87">
        <v>0</v>
      </c>
      <c r="M40" s="61">
        <f t="shared" si="21"/>
        <v>147701</v>
      </c>
      <c r="N40" s="87">
        <v>0</v>
      </c>
      <c r="P40" s="87"/>
    </row>
    <row r="41" spans="9:16">
      <c r="I41" s="61">
        <v>4</v>
      </c>
      <c r="J41" s="61">
        <v>5</v>
      </c>
      <c r="K41" s="61">
        <f>(L$4*$J41*1000)+K6</f>
        <v>153000</v>
      </c>
      <c r="L41" s="87">
        <v>0</v>
      </c>
      <c r="M41" s="61">
        <f>(N$4*$J41*1000)+M6</f>
        <v>168000</v>
      </c>
      <c r="N41" s="87">
        <v>0</v>
      </c>
      <c r="P41" s="87"/>
    </row>
    <row r="42" spans="9:16">
      <c r="I42" s="61">
        <v>4</v>
      </c>
      <c r="J42" s="61">
        <v>5</v>
      </c>
      <c r="K42" s="61">
        <f t="shared" ref="K42:M47" si="27">(L$4*$J42*1000)+K7</f>
        <v>153660</v>
      </c>
      <c r="L42" s="87">
        <v>0.05</v>
      </c>
      <c r="M42" s="61">
        <f t="shared" si="27"/>
        <v>168660</v>
      </c>
      <c r="N42" s="87">
        <v>0.05</v>
      </c>
      <c r="P42" s="87"/>
    </row>
    <row r="43" spans="9:16">
      <c r="I43" s="61">
        <v>4</v>
      </c>
      <c r="J43" s="61">
        <v>5</v>
      </c>
      <c r="K43" s="61">
        <f t="shared" si="27"/>
        <v>154890</v>
      </c>
      <c r="L43" s="87">
        <v>0.1</v>
      </c>
      <c r="M43" s="61">
        <f t="shared" si="27"/>
        <v>169890</v>
      </c>
      <c r="N43" s="87">
        <v>0.1</v>
      </c>
      <c r="P43" s="87"/>
    </row>
    <row r="44" spans="9:16">
      <c r="I44" s="61">
        <v>4</v>
      </c>
      <c r="J44" s="61">
        <v>5</v>
      </c>
      <c r="K44" s="61">
        <f t="shared" si="27"/>
        <v>155450</v>
      </c>
      <c r="L44" s="87">
        <v>0.15</v>
      </c>
      <c r="M44" s="61">
        <f t="shared" si="27"/>
        <v>170450</v>
      </c>
      <c r="N44" s="87">
        <v>0.15</v>
      </c>
      <c r="P44" s="87"/>
    </row>
    <row r="45" spans="9:16">
      <c r="I45" s="61">
        <v>4</v>
      </c>
      <c r="J45" s="61">
        <v>5</v>
      </c>
      <c r="K45" s="61">
        <f t="shared" si="27"/>
        <v>156300</v>
      </c>
      <c r="L45" s="87">
        <v>0.2</v>
      </c>
      <c r="M45" s="61">
        <f t="shared" si="27"/>
        <v>171300</v>
      </c>
      <c r="N45" s="87">
        <v>0.2</v>
      </c>
      <c r="P45" s="87"/>
    </row>
    <row r="46" spans="9:16">
      <c r="I46" s="61">
        <v>4</v>
      </c>
      <c r="J46" s="61">
        <v>5</v>
      </c>
      <c r="K46" s="61">
        <f t="shared" si="27"/>
        <v>166300</v>
      </c>
      <c r="L46" s="87">
        <v>0.2</v>
      </c>
      <c r="M46" s="61">
        <v>180000</v>
      </c>
      <c r="N46" s="64">
        <v>0.2</v>
      </c>
      <c r="P46" s="87"/>
    </row>
    <row r="47" spans="9:16">
      <c r="I47" s="61">
        <v>4</v>
      </c>
      <c r="J47" s="61">
        <v>5</v>
      </c>
      <c r="K47" s="61">
        <f t="shared" si="27"/>
        <v>166301</v>
      </c>
      <c r="L47" s="87">
        <v>0</v>
      </c>
      <c r="M47" s="61">
        <f>(N$4*$J46*1000)+M11</f>
        <v>181300</v>
      </c>
      <c r="N47" s="87">
        <v>0.2</v>
      </c>
      <c r="O47" s="61">
        <v>8700</v>
      </c>
      <c r="P47" s="87"/>
    </row>
    <row r="48" spans="9:16">
      <c r="L48" s="87"/>
      <c r="M48" s="61">
        <f>(N$4*$J47*1000)+M12</f>
        <v>181301</v>
      </c>
      <c r="N48" s="87">
        <v>0</v>
      </c>
    </row>
    <row r="49" spans="12:12">
      <c r="L49" s="87"/>
    </row>
    <row r="50" spans="12:12">
      <c r="L50" s="87"/>
    </row>
    <row r="51" spans="12:12">
      <c r="L51" s="87"/>
    </row>
    <row r="52" spans="12:12">
      <c r="L52" s="87"/>
    </row>
    <row r="53" spans="12:12">
      <c r="L53" s="87"/>
    </row>
    <row r="54" spans="12:12">
      <c r="L54" s="87"/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8484-D812-4049-AB6C-5A90624B70D8}">
  <dimension ref="A1:X30"/>
  <sheetViews>
    <sheetView zoomScale="92" workbookViewId="0">
      <selection activeCell="K25" sqref="K25"/>
    </sheetView>
  </sheetViews>
  <sheetFormatPr defaultRowHeight="15.75"/>
  <cols>
    <col min="1" max="1" width="11.5" style="61" bestFit="1" customWidth="1"/>
    <col min="2" max="2" width="11.75" style="61" bestFit="1" customWidth="1"/>
    <col min="3" max="3" width="11.375" style="61" bestFit="1" customWidth="1"/>
    <col min="4" max="4" width="8.375" style="61" bestFit="1" customWidth="1"/>
    <col min="5" max="6" width="10.375" style="61" bestFit="1" customWidth="1"/>
    <col min="7" max="7" width="8.5" style="61" bestFit="1" customWidth="1"/>
    <col min="8" max="8" width="11.25" style="61" bestFit="1" customWidth="1"/>
    <col min="9" max="9" width="10.25" style="61" bestFit="1" customWidth="1"/>
    <col min="10" max="10" width="7.625" style="61" bestFit="1" customWidth="1"/>
    <col min="11" max="11" width="12.75" style="61" customWidth="1"/>
    <col min="12" max="12" width="14.125" style="61" bestFit="1" customWidth="1"/>
    <col min="13" max="18" width="16.5" style="61" customWidth="1"/>
    <col min="19" max="16384" width="9" style="61"/>
  </cols>
  <sheetData>
    <row r="1" spans="1:24">
      <c r="A1" s="63" t="s">
        <v>81</v>
      </c>
      <c r="B1" s="61">
        <v>27520</v>
      </c>
      <c r="L1" s="65" t="s">
        <v>90</v>
      </c>
      <c r="M1" s="92">
        <v>-8</v>
      </c>
      <c r="N1" s="67">
        <v>-7</v>
      </c>
      <c r="O1" s="68" t="s">
        <v>88</v>
      </c>
      <c r="P1" s="68" t="s">
        <v>87</v>
      </c>
      <c r="Q1" s="68" t="s">
        <v>86</v>
      </c>
      <c r="R1" s="69" t="s">
        <v>104</v>
      </c>
      <c r="W1" s="62"/>
      <c r="X1" s="62"/>
    </row>
    <row r="2" spans="1:24">
      <c r="A2" s="62" t="s">
        <v>82</v>
      </c>
      <c r="B2" s="61">
        <v>6378</v>
      </c>
      <c r="L2" s="65" t="s">
        <v>91</v>
      </c>
      <c r="M2" s="64">
        <v>-7.0000000000000007E-2</v>
      </c>
      <c r="N2" s="82">
        <v>0</v>
      </c>
      <c r="O2" s="83">
        <v>0.09</v>
      </c>
      <c r="P2" s="83">
        <v>0.22</v>
      </c>
      <c r="Q2" s="83">
        <v>0.35</v>
      </c>
      <c r="R2" s="83">
        <v>0.48</v>
      </c>
      <c r="W2" s="89"/>
      <c r="X2" s="89"/>
    </row>
    <row r="3" spans="1:24">
      <c r="A3" s="63" t="s">
        <v>83</v>
      </c>
      <c r="B3" s="64">
        <v>7.27</v>
      </c>
      <c r="L3" s="70" t="s">
        <v>81</v>
      </c>
      <c r="M3" s="71">
        <v>27520</v>
      </c>
      <c r="N3" s="71">
        <f>B1</f>
        <v>27520</v>
      </c>
      <c r="O3" s="71">
        <v>27520</v>
      </c>
      <c r="P3" s="71">
        <v>27520</v>
      </c>
      <c r="Q3" s="71">
        <v>27520</v>
      </c>
      <c r="R3" s="71">
        <v>27520</v>
      </c>
      <c r="W3" s="88"/>
      <c r="X3" s="89"/>
    </row>
    <row r="4" spans="1:24">
      <c r="A4" s="1" t="s">
        <v>84</v>
      </c>
      <c r="B4" s="61">
        <f>N7</f>
        <v>12240</v>
      </c>
      <c r="L4" s="72" t="s">
        <v>82</v>
      </c>
      <c r="M4" s="71">
        <v>6378</v>
      </c>
      <c r="N4" s="71">
        <f>B2</f>
        <v>6378</v>
      </c>
      <c r="O4" s="71">
        <v>6378</v>
      </c>
      <c r="P4" s="71">
        <v>6378</v>
      </c>
      <c r="Q4" s="71">
        <v>6378</v>
      </c>
      <c r="R4" s="71">
        <v>6378</v>
      </c>
      <c r="W4" s="88"/>
      <c r="X4" s="89"/>
    </row>
    <row r="5" spans="1:24">
      <c r="L5" s="73" t="s">
        <v>83</v>
      </c>
      <c r="M5" s="75">
        <f>$N$5+M2</f>
        <v>7.1999999999999993</v>
      </c>
      <c r="N5" s="74">
        <f>B3</f>
        <v>7.27</v>
      </c>
      <c r="O5" s="75">
        <f>$N$5+O2</f>
        <v>7.3599999999999994</v>
      </c>
      <c r="P5" s="75">
        <f>$N$5+P2</f>
        <v>7.4899999999999993</v>
      </c>
      <c r="Q5" s="75">
        <f>$N$5+Q2</f>
        <v>7.6199999999999992</v>
      </c>
      <c r="R5" s="75">
        <f>$N$5+R2</f>
        <v>7.75</v>
      </c>
      <c r="W5" s="88"/>
      <c r="X5" s="89"/>
    </row>
    <row r="6" spans="1:24">
      <c r="A6" s="112" t="s">
        <v>130</v>
      </c>
      <c r="B6" s="112"/>
      <c r="C6" s="112"/>
      <c r="D6" s="112"/>
      <c r="E6" s="112"/>
      <c r="F6" s="112"/>
      <c r="G6" s="112"/>
      <c r="H6" s="112"/>
      <c r="I6" s="112"/>
      <c r="J6" s="112"/>
      <c r="L6" s="76" t="s">
        <v>80</v>
      </c>
      <c r="M6" s="77">
        <f>M3+M4*(1+M5)</f>
        <v>79819.600000000006</v>
      </c>
      <c r="N6" s="77">
        <f>N3+N4*(1+N5)</f>
        <v>80266.06</v>
      </c>
      <c r="O6" s="77">
        <f t="shared" ref="O6:R6" si="0">O3+O4*(1+O5)</f>
        <v>80840.079999999987</v>
      </c>
      <c r="P6" s="77">
        <f t="shared" si="0"/>
        <v>81669.219999999987</v>
      </c>
      <c r="Q6" s="77">
        <f t="shared" si="0"/>
        <v>82498.359999999986</v>
      </c>
      <c r="R6" s="77">
        <f t="shared" si="0"/>
        <v>83327.5</v>
      </c>
      <c r="W6" s="88"/>
    </row>
    <row r="7" spans="1:24">
      <c r="A7" s="84" t="s">
        <v>111</v>
      </c>
      <c r="B7" s="84" t="s">
        <v>112</v>
      </c>
      <c r="C7" s="84" t="s">
        <v>113</v>
      </c>
      <c r="D7" s="84" t="s">
        <v>60</v>
      </c>
      <c r="E7" s="84" t="s">
        <v>122</v>
      </c>
      <c r="F7" s="84" t="s">
        <v>123</v>
      </c>
      <c r="G7" s="84" t="s">
        <v>124</v>
      </c>
      <c r="H7" s="84" t="s">
        <v>125</v>
      </c>
      <c r="I7" s="84" t="s">
        <v>126</v>
      </c>
      <c r="J7" s="84" t="s">
        <v>127</v>
      </c>
      <c r="L7" s="76" t="s">
        <v>84</v>
      </c>
      <c r="M7" s="78">
        <v>12240</v>
      </c>
      <c r="N7" s="78">
        <v>12240</v>
      </c>
      <c r="O7" s="78">
        <v>12240</v>
      </c>
      <c r="P7" s="78">
        <v>12240</v>
      </c>
      <c r="Q7" s="78">
        <v>12240</v>
      </c>
      <c r="R7" s="78">
        <v>12240</v>
      </c>
      <c r="W7" s="88"/>
      <c r="X7" s="89"/>
    </row>
    <row r="8" spans="1:24">
      <c r="A8" s="84" t="s">
        <v>114</v>
      </c>
      <c r="B8" s="94">
        <f>R9</f>
        <v>1.0367404867096801</v>
      </c>
      <c r="C8" s="94">
        <f>SUM(E8:G8)/SUM(E$8:G$8)</f>
        <v>1</v>
      </c>
      <c r="D8" s="95">
        <f>B8*C8</f>
        <v>1.0367404867096801</v>
      </c>
      <c r="E8" s="83">
        <v>157.91630000000001</v>
      </c>
      <c r="F8" s="83">
        <v>428.73820000000001</v>
      </c>
      <c r="G8" s="83">
        <v>0</v>
      </c>
      <c r="H8" s="95">
        <f>E8/SUM($E8:$G8)</f>
        <v>0.26918109381245692</v>
      </c>
      <c r="I8" s="95">
        <f t="shared" ref="I8:J13" si="1">F8/SUM($E8:$G8)</f>
        <v>0.73081890618754308</v>
      </c>
      <c r="J8" s="95">
        <f t="shared" si="1"/>
        <v>0</v>
      </c>
      <c r="L8" s="66" t="s">
        <v>85</v>
      </c>
      <c r="M8" s="79">
        <f t="shared" ref="M8" si="2">4*M6+M7</f>
        <v>331518.40000000002</v>
      </c>
      <c r="N8" s="79">
        <f>4*N6+N7</f>
        <v>333304.24</v>
      </c>
      <c r="O8" s="79">
        <f t="shared" ref="O8:R8" si="3">4*O6+O7</f>
        <v>335600.31999999995</v>
      </c>
      <c r="P8" s="79">
        <f t="shared" si="3"/>
        <v>338916.87999999995</v>
      </c>
      <c r="Q8" s="79">
        <f t="shared" si="3"/>
        <v>342233.43999999994</v>
      </c>
      <c r="R8" s="79">
        <f t="shared" si="3"/>
        <v>345550</v>
      </c>
    </row>
    <row r="9" spans="1:24">
      <c r="A9" s="82">
        <v>-2</v>
      </c>
      <c r="B9" s="94">
        <f>Q9</f>
        <v>1.0267899382258081</v>
      </c>
      <c r="C9" s="94">
        <f t="shared" ref="C9:C13" si="4">SUM(E9:G9)/SUM(E$8:G$8)</f>
        <v>1.0432886818391405</v>
      </c>
      <c r="D9" s="95">
        <f t="shared" ref="D9:D13" si="5">B9*C9</f>
        <v>1.0712383211772958</v>
      </c>
      <c r="E9" s="83">
        <v>158.27000000000001</v>
      </c>
      <c r="F9" s="83">
        <v>453.78</v>
      </c>
      <c r="G9" s="83">
        <v>0</v>
      </c>
      <c r="H9" s="95">
        <f t="shared" ref="H9:H13" si="6">E9/SUM($E9:$G9)</f>
        <v>0.25858998447839232</v>
      </c>
      <c r="I9" s="95">
        <f t="shared" si="1"/>
        <v>0.74141001552160768</v>
      </c>
      <c r="J9" s="95">
        <f t="shared" si="1"/>
        <v>0</v>
      </c>
      <c r="L9" s="80" t="s">
        <v>89</v>
      </c>
      <c r="M9" s="81">
        <f t="shared" ref="M9:R9" si="7">M8/$N$8</f>
        <v>0.9946420123548384</v>
      </c>
      <c r="N9" s="81">
        <f t="shared" si="7"/>
        <v>1</v>
      </c>
      <c r="O9" s="81">
        <f t="shared" si="7"/>
        <v>1.0068888412580648</v>
      </c>
      <c r="P9" s="81">
        <f t="shared" si="7"/>
        <v>1.0168393897419366</v>
      </c>
      <c r="Q9" s="81">
        <f t="shared" si="7"/>
        <v>1.0267899382258081</v>
      </c>
      <c r="R9" s="81">
        <f t="shared" si="7"/>
        <v>1.0367404867096801</v>
      </c>
    </row>
    <row r="10" spans="1:24">
      <c r="A10" s="82">
        <v>-4</v>
      </c>
      <c r="B10" s="94">
        <f>P9</f>
        <v>1.0168393897419366</v>
      </c>
      <c r="C10" s="94">
        <f t="shared" si="4"/>
        <v>1.0913962136146576</v>
      </c>
      <c r="D10" s="95">
        <f t="shared" si="5"/>
        <v>1.1097746598185887</v>
      </c>
      <c r="E10" s="85">
        <v>158.97559999999999</v>
      </c>
      <c r="F10" s="83">
        <v>481.29689999999999</v>
      </c>
      <c r="G10" s="83">
        <v>0</v>
      </c>
      <c r="H10" s="95">
        <f t="shared" si="6"/>
        <v>0.24829365621668895</v>
      </c>
      <c r="I10" s="95">
        <f t="shared" si="1"/>
        <v>0.75170634378331092</v>
      </c>
      <c r="J10" s="95">
        <f t="shared" si="1"/>
        <v>0</v>
      </c>
    </row>
    <row r="11" spans="1:24">
      <c r="A11" s="82">
        <v>-6</v>
      </c>
      <c r="B11" s="94">
        <f>O9</f>
        <v>1.0068888412580648</v>
      </c>
      <c r="C11" s="94">
        <f t="shared" si="4"/>
        <v>1.1422322678851011</v>
      </c>
      <c r="D11" s="95">
        <f t="shared" si="5"/>
        <v>1.1501009246584009</v>
      </c>
      <c r="E11" s="83">
        <v>159.4314</v>
      </c>
      <c r="F11" s="83">
        <v>510.66430000000003</v>
      </c>
      <c r="G11" s="83">
        <v>0</v>
      </c>
      <c r="H11" s="95">
        <f t="shared" si="6"/>
        <v>0.23792332945876235</v>
      </c>
      <c r="I11" s="95">
        <f t="shared" si="1"/>
        <v>0.76207667054123751</v>
      </c>
      <c r="J11" s="95">
        <f t="shared" si="1"/>
        <v>0</v>
      </c>
    </row>
    <row r="12" spans="1:24">
      <c r="A12" s="82">
        <v>-7</v>
      </c>
      <c r="B12" s="94">
        <f>N9</f>
        <v>1</v>
      </c>
      <c r="C12" s="94">
        <f t="shared" si="4"/>
        <v>1.1630528701305454</v>
      </c>
      <c r="D12" s="95">
        <f t="shared" si="5"/>
        <v>1.1630528701305454</v>
      </c>
      <c r="E12" s="83">
        <v>159.95169999999999</v>
      </c>
      <c r="F12" s="83">
        <v>522.35850000000005</v>
      </c>
      <c r="G12" s="83">
        <v>0</v>
      </c>
      <c r="H12" s="95">
        <f t="shared" si="6"/>
        <v>0.23442665813877617</v>
      </c>
      <c r="I12" s="95">
        <f t="shared" si="1"/>
        <v>0.76557334186122383</v>
      </c>
      <c r="J12" s="95">
        <f t="shared" si="1"/>
        <v>0</v>
      </c>
      <c r="L12" s="66" t="s">
        <v>99</v>
      </c>
      <c r="M12" s="82">
        <v>30.6</v>
      </c>
      <c r="N12" s="66" t="s">
        <v>100</v>
      </c>
    </row>
    <row r="13" spans="1:24">
      <c r="A13" s="82">
        <v>-8</v>
      </c>
      <c r="B13" s="94">
        <f>M9</f>
        <v>0.9946420123548384</v>
      </c>
      <c r="C13" s="94">
        <f t="shared" si="4"/>
        <v>1.1661033879395795</v>
      </c>
      <c r="D13" s="95">
        <f t="shared" si="5"/>
        <v>1.1598554203940181</v>
      </c>
      <c r="E13" s="83">
        <v>160.04849999999999</v>
      </c>
      <c r="F13" s="83">
        <v>524.05129999999997</v>
      </c>
      <c r="G13" s="83">
        <v>0</v>
      </c>
      <c r="H13" s="95">
        <f t="shared" si="6"/>
        <v>0.23395489956290003</v>
      </c>
      <c r="I13" s="95">
        <f t="shared" si="1"/>
        <v>0.76604510043709995</v>
      </c>
      <c r="J13" s="95">
        <f t="shared" si="1"/>
        <v>0</v>
      </c>
      <c r="L13" s="66" t="s">
        <v>94</v>
      </c>
      <c r="M13" s="84">
        <v>30.6</v>
      </c>
      <c r="N13" s="66" t="s">
        <v>100</v>
      </c>
    </row>
    <row r="14" spans="1:24">
      <c r="L14" s="66" t="s">
        <v>101</v>
      </c>
      <c r="M14" s="82">
        <f>ROUNDDOWN(M12/M13,0)</f>
        <v>1</v>
      </c>
      <c r="N14" s="66" t="s">
        <v>102</v>
      </c>
      <c r="O14" s="62"/>
      <c r="P14" s="62"/>
      <c r="Q14" s="62"/>
    </row>
    <row r="15" spans="1:24">
      <c r="L15" s="66"/>
      <c r="M15" s="66">
        <v>1</v>
      </c>
      <c r="N15" s="66">
        <v>2</v>
      </c>
      <c r="O15" s="66">
        <v>3</v>
      </c>
      <c r="P15" s="66">
        <v>4</v>
      </c>
      <c r="Q15" s="66" t="s">
        <v>93</v>
      </c>
    </row>
    <row r="16" spans="1:24">
      <c r="H16" s="64"/>
      <c r="L16" s="66" t="s">
        <v>92</v>
      </c>
      <c r="M16" s="34">
        <v>660</v>
      </c>
      <c r="N16" s="34">
        <v>1890</v>
      </c>
      <c r="O16" s="34">
        <v>2450</v>
      </c>
      <c r="P16" s="58">
        <v>3300</v>
      </c>
      <c r="Q16" s="84">
        <v>13300</v>
      </c>
    </row>
    <row r="17" spans="12:17">
      <c r="L17" s="66" t="s">
        <v>96</v>
      </c>
      <c r="M17" s="84">
        <f>N16-M16</f>
        <v>1230</v>
      </c>
      <c r="N17" s="84">
        <f>O16-N16</f>
        <v>560</v>
      </c>
      <c r="O17" s="84">
        <f>P16-O16</f>
        <v>850</v>
      </c>
      <c r="P17" s="84">
        <f>Q16-P16</f>
        <v>10000</v>
      </c>
      <c r="Q17" s="62"/>
    </row>
    <row r="18" spans="12:17">
      <c r="L18" s="66" t="s">
        <v>95</v>
      </c>
      <c r="M18" s="85">
        <v>0.05</v>
      </c>
      <c r="N18" s="85">
        <v>0.1</v>
      </c>
      <c r="O18" s="85">
        <v>0.15</v>
      </c>
      <c r="P18" s="85">
        <v>0.2</v>
      </c>
      <c r="Q18" s="62"/>
    </row>
    <row r="19" spans="12:17">
      <c r="L19" s="92"/>
      <c r="M19" s="84">
        <f>M17*M18</f>
        <v>61.5</v>
      </c>
      <c r="N19" s="84">
        <f>N17*N18</f>
        <v>56</v>
      </c>
      <c r="O19" s="84">
        <f>O17*O18</f>
        <v>127.5</v>
      </c>
      <c r="P19" s="84">
        <f>P17*P18</f>
        <v>2000</v>
      </c>
    </row>
    <row r="20" spans="12:17">
      <c r="L20" s="66" t="s">
        <v>98</v>
      </c>
      <c r="M20" s="84">
        <f>SUM(M19:P19)</f>
        <v>2245</v>
      </c>
    </row>
    <row r="21" spans="12:17">
      <c r="L21" s="66" t="s">
        <v>97</v>
      </c>
      <c r="M21" s="86">
        <f xml:space="preserve"> (M20*M14)/M12/1000</f>
        <v>7.3366013071895428E-2</v>
      </c>
    </row>
    <row r="24" spans="12:17">
      <c r="L24" s="90" t="s">
        <v>111</v>
      </c>
      <c r="M24" s="62" t="s">
        <v>79</v>
      </c>
      <c r="N24" s="62"/>
    </row>
    <row r="25" spans="12:17">
      <c r="L25" s="91" t="s">
        <v>105</v>
      </c>
      <c r="M25" s="104">
        <v>58665.45</v>
      </c>
      <c r="N25" s="93">
        <f t="shared" ref="N25:N30" si="8">M25/$M$25</f>
        <v>1</v>
      </c>
    </row>
    <row r="26" spans="12:17">
      <c r="L26" s="90" t="s">
        <v>106</v>
      </c>
      <c r="M26" s="104">
        <v>61205.599999999999</v>
      </c>
      <c r="N26" s="93">
        <f t="shared" si="8"/>
        <v>1.0432989093239717</v>
      </c>
    </row>
    <row r="27" spans="12:17">
      <c r="L27" s="90" t="s">
        <v>107</v>
      </c>
      <c r="M27" s="104">
        <v>64027.24</v>
      </c>
      <c r="N27" s="93">
        <f t="shared" si="8"/>
        <v>1.0913960431565768</v>
      </c>
    </row>
    <row r="28" spans="12:17">
      <c r="L28" s="90" t="s">
        <v>108</v>
      </c>
      <c r="M28" s="104">
        <v>67009.570000000007</v>
      </c>
      <c r="N28" s="93">
        <f t="shared" si="8"/>
        <v>1.1422322678851011</v>
      </c>
    </row>
    <row r="29" spans="12:17">
      <c r="L29" s="90" t="s">
        <v>109</v>
      </c>
      <c r="M29" s="104">
        <v>68231.02</v>
      </c>
      <c r="N29" s="93">
        <f t="shared" si="8"/>
        <v>1.1630528701305454</v>
      </c>
    </row>
    <row r="30" spans="12:17">
      <c r="L30" s="90" t="s">
        <v>110</v>
      </c>
      <c r="M30" s="104">
        <v>68409.98</v>
      </c>
      <c r="N30" s="93">
        <f t="shared" si="8"/>
        <v>1.1661033879395795</v>
      </c>
    </row>
  </sheetData>
  <mergeCells count="1">
    <mergeCell ref="A6:J6"/>
  </mergeCells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1C10-18C1-4338-86B8-891CE3064C87}">
  <dimension ref="A1:X30"/>
  <sheetViews>
    <sheetView zoomScaleNormal="100" workbookViewId="0">
      <selection activeCell="O34" sqref="O34"/>
    </sheetView>
  </sheetViews>
  <sheetFormatPr defaultRowHeight="15.75"/>
  <cols>
    <col min="1" max="1" width="11.5" style="61" bestFit="1" customWidth="1"/>
    <col min="2" max="2" width="11.75" style="61" bestFit="1" customWidth="1"/>
    <col min="3" max="3" width="11.375" style="61" bestFit="1" customWidth="1"/>
    <col min="4" max="4" width="8.375" style="61" bestFit="1" customWidth="1"/>
    <col min="5" max="5" width="9.625" style="61" bestFit="1" customWidth="1"/>
    <col min="6" max="6" width="8.875" style="61" bestFit="1" customWidth="1"/>
    <col min="7" max="7" width="8.5" style="61" bestFit="1" customWidth="1"/>
    <col min="8" max="8" width="11.625" style="61" bestFit="1" customWidth="1"/>
    <col min="9" max="9" width="10.75" style="61" bestFit="1" customWidth="1"/>
    <col min="10" max="10" width="8" style="61" bestFit="1" customWidth="1"/>
    <col min="11" max="11" width="12.75" style="61" customWidth="1"/>
    <col min="12" max="12" width="14.125" style="61" bestFit="1" customWidth="1"/>
    <col min="13" max="18" width="16.5" style="61" customWidth="1"/>
    <col min="19" max="16384" width="9" style="61"/>
  </cols>
  <sheetData>
    <row r="1" spans="1:24">
      <c r="A1" s="63" t="s">
        <v>81</v>
      </c>
      <c r="B1" s="61">
        <v>27520</v>
      </c>
      <c r="L1" s="65" t="s">
        <v>90</v>
      </c>
      <c r="M1" s="92">
        <v>-8</v>
      </c>
      <c r="N1" s="67">
        <v>-7</v>
      </c>
      <c r="O1" s="68" t="s">
        <v>88</v>
      </c>
      <c r="P1" s="68" t="s">
        <v>87</v>
      </c>
      <c r="Q1" s="68" t="s">
        <v>86</v>
      </c>
      <c r="R1" s="69" t="s">
        <v>104</v>
      </c>
      <c r="W1" s="62"/>
      <c r="X1" s="62"/>
    </row>
    <row r="2" spans="1:24">
      <c r="A2" s="62" t="s">
        <v>82</v>
      </c>
      <c r="B2" s="61">
        <v>6378</v>
      </c>
      <c r="L2" s="65" t="s">
        <v>91</v>
      </c>
      <c r="M2" s="64">
        <v>-7.0000000000000007E-2</v>
      </c>
      <c r="N2" s="82">
        <v>0</v>
      </c>
      <c r="O2" s="83">
        <v>0.09</v>
      </c>
      <c r="P2" s="83">
        <v>0.22</v>
      </c>
      <c r="Q2" s="83">
        <v>0.35</v>
      </c>
      <c r="R2" s="83">
        <v>0.48</v>
      </c>
      <c r="W2" s="89"/>
      <c r="X2" s="89"/>
    </row>
    <row r="3" spans="1:24">
      <c r="A3" s="63" t="s">
        <v>83</v>
      </c>
      <c r="B3" s="64">
        <v>7.27</v>
      </c>
      <c r="L3" s="70" t="s">
        <v>81</v>
      </c>
      <c r="M3" s="71">
        <v>27520</v>
      </c>
      <c r="N3" s="71">
        <f>B1</f>
        <v>27520</v>
      </c>
      <c r="O3" s="71">
        <v>27520</v>
      </c>
      <c r="P3" s="71">
        <v>27520</v>
      </c>
      <c r="Q3" s="71">
        <v>27520</v>
      </c>
      <c r="R3" s="71">
        <v>27520</v>
      </c>
      <c r="W3" s="88"/>
      <c r="X3" s="89"/>
    </row>
    <row r="4" spans="1:24">
      <c r="A4" s="1" t="s">
        <v>84</v>
      </c>
      <c r="B4" s="61">
        <f>N7</f>
        <v>12240</v>
      </c>
      <c r="L4" s="72" t="s">
        <v>82</v>
      </c>
      <c r="M4" s="71">
        <v>6378</v>
      </c>
      <c r="N4" s="71">
        <f>B2</f>
        <v>6378</v>
      </c>
      <c r="O4" s="71">
        <v>6378</v>
      </c>
      <c r="P4" s="71">
        <v>6378</v>
      </c>
      <c r="Q4" s="71">
        <v>6378</v>
      </c>
      <c r="R4" s="71">
        <v>6378</v>
      </c>
      <c r="W4" s="88"/>
      <c r="X4" s="89"/>
    </row>
    <row r="5" spans="1:24">
      <c r="L5" s="73" t="s">
        <v>83</v>
      </c>
      <c r="M5" s="75">
        <f>$N$5+M2</f>
        <v>7.1999999999999993</v>
      </c>
      <c r="N5" s="74">
        <f>B3</f>
        <v>7.27</v>
      </c>
      <c r="O5" s="75">
        <f>$N$5+O2</f>
        <v>7.3599999999999994</v>
      </c>
      <c r="P5" s="75">
        <f>$N$5+P2</f>
        <v>7.4899999999999993</v>
      </c>
      <c r="Q5" s="75">
        <f>$N$5+Q2</f>
        <v>7.6199999999999992</v>
      </c>
      <c r="R5" s="75">
        <f>$N$5+R2</f>
        <v>7.75</v>
      </c>
      <c r="W5" s="88"/>
      <c r="X5" s="89"/>
    </row>
    <row r="6" spans="1:24">
      <c r="A6" s="112" t="s">
        <v>128</v>
      </c>
      <c r="B6" s="112"/>
      <c r="C6" s="112"/>
      <c r="D6" s="112"/>
      <c r="E6" s="112"/>
      <c r="F6" s="112"/>
      <c r="G6" s="112"/>
      <c r="H6" s="112"/>
      <c r="I6" s="112"/>
      <c r="J6" s="112"/>
      <c r="L6" s="76" t="s">
        <v>80</v>
      </c>
      <c r="M6" s="77">
        <f>M3+M4*(1+M5)</f>
        <v>79819.600000000006</v>
      </c>
      <c r="N6" s="77">
        <f>N3+N4*(1+N5)</f>
        <v>80266.06</v>
      </c>
      <c r="O6" s="77">
        <f t="shared" ref="O6:R6" si="0">O3+O4*(1+O5)</f>
        <v>80840.079999999987</v>
      </c>
      <c r="P6" s="77">
        <f t="shared" si="0"/>
        <v>81669.219999999987</v>
      </c>
      <c r="Q6" s="77">
        <f t="shared" si="0"/>
        <v>82498.359999999986</v>
      </c>
      <c r="R6" s="77">
        <f t="shared" si="0"/>
        <v>83327.5</v>
      </c>
      <c r="W6" s="88"/>
    </row>
    <row r="7" spans="1:24">
      <c r="A7" s="84" t="s">
        <v>111</v>
      </c>
      <c r="B7" s="84" t="s">
        <v>112</v>
      </c>
      <c r="C7" s="84" t="s">
        <v>113</v>
      </c>
      <c r="D7" s="84" t="s">
        <v>60</v>
      </c>
      <c r="E7" s="84" t="s">
        <v>122</v>
      </c>
      <c r="F7" s="84" t="s">
        <v>123</v>
      </c>
      <c r="G7" s="84" t="s">
        <v>124</v>
      </c>
      <c r="H7" s="84" t="s">
        <v>125</v>
      </c>
      <c r="I7" s="84" t="s">
        <v>126</v>
      </c>
      <c r="J7" s="84" t="s">
        <v>127</v>
      </c>
      <c r="L7" s="76" t="s">
        <v>84</v>
      </c>
      <c r="M7" s="78">
        <v>12240</v>
      </c>
      <c r="N7" s="78">
        <v>12240</v>
      </c>
      <c r="O7" s="78">
        <v>12240</v>
      </c>
      <c r="P7" s="78">
        <v>12240</v>
      </c>
      <c r="Q7" s="78">
        <v>12240</v>
      </c>
      <c r="R7" s="78">
        <v>12240</v>
      </c>
      <c r="W7" s="88"/>
      <c r="X7" s="89"/>
    </row>
    <row r="8" spans="1:24">
      <c r="A8" s="84" t="s">
        <v>114</v>
      </c>
      <c r="B8" s="94">
        <f>R9</f>
        <v>1.0367404867096801</v>
      </c>
      <c r="C8" s="94">
        <f>SUM(E8:G8)/SUM(E$8:G$8)</f>
        <v>1</v>
      </c>
      <c r="D8" s="95">
        <f>B8*C8</f>
        <v>1.0367404867096801</v>
      </c>
      <c r="E8" s="83">
        <v>158.72399999999999</v>
      </c>
      <c r="F8" s="83">
        <v>415.83780000000002</v>
      </c>
      <c r="G8" s="83">
        <v>239.54400000000001</v>
      </c>
      <c r="H8" s="95">
        <f>E8/SUM($E8:$G8)</f>
        <v>0.19496728803553542</v>
      </c>
      <c r="I8" s="95">
        <f t="shared" ref="I8:J8" si="1">F8/SUM($E8:$G8)</f>
        <v>0.51079085789586565</v>
      </c>
      <c r="J8" s="95">
        <f t="shared" si="1"/>
        <v>0.29424185406859898</v>
      </c>
      <c r="L8" s="66" t="s">
        <v>85</v>
      </c>
      <c r="M8" s="79">
        <f t="shared" ref="M8" si="2">4*M6+M7</f>
        <v>331518.40000000002</v>
      </c>
      <c r="N8" s="79">
        <f>4*N6+N7</f>
        <v>333304.24</v>
      </c>
      <c r="O8" s="79">
        <f t="shared" ref="O8:R8" si="3">4*O6+O7</f>
        <v>335600.31999999995</v>
      </c>
      <c r="P8" s="79">
        <f t="shared" si="3"/>
        <v>338916.87999999995</v>
      </c>
      <c r="Q8" s="79">
        <f t="shared" si="3"/>
        <v>342233.43999999994</v>
      </c>
      <c r="R8" s="79">
        <f t="shared" si="3"/>
        <v>345550</v>
      </c>
    </row>
    <row r="9" spans="1:24">
      <c r="A9" s="82">
        <v>-2</v>
      </c>
      <c r="B9" s="94">
        <f>Q9</f>
        <v>1.0267899382258081</v>
      </c>
      <c r="C9" s="94">
        <f t="shared" ref="C9:C13" si="4">SUM(E9:G9)/SUM(E$8:G$8)</f>
        <v>1.0907881997646991</v>
      </c>
      <c r="D9" s="95">
        <f t="shared" ref="D9:D13" si="5">B9*C9</f>
        <v>1.1200103482538357</v>
      </c>
      <c r="E9" s="83">
        <v>160.1592</v>
      </c>
      <c r="F9" s="83">
        <v>487.7355</v>
      </c>
      <c r="G9" s="83">
        <v>240.1223</v>
      </c>
      <c r="H9" s="95">
        <f t="shared" ref="H9:H13" si="6">E9/SUM($E9:$G9)</f>
        <v>0.18035600669806995</v>
      </c>
      <c r="I9" s="95">
        <f t="shared" ref="I9:I13" si="7">F9/SUM($E9:$G9)</f>
        <v>0.54924117443697584</v>
      </c>
      <c r="J9" s="95">
        <f t="shared" ref="J9:J13" si="8">G9/SUM($E9:$G9)</f>
        <v>0.27040281886495415</v>
      </c>
      <c r="L9" s="80" t="s">
        <v>89</v>
      </c>
      <c r="M9" s="81">
        <f t="shared" ref="M9:R9" si="9">M8/$N$8</f>
        <v>0.9946420123548384</v>
      </c>
      <c r="N9" s="81">
        <f t="shared" si="9"/>
        <v>1</v>
      </c>
      <c r="O9" s="81">
        <f t="shared" si="9"/>
        <v>1.0068888412580648</v>
      </c>
      <c r="P9" s="81">
        <f t="shared" si="9"/>
        <v>1.0168393897419366</v>
      </c>
      <c r="Q9" s="81">
        <f t="shared" si="9"/>
        <v>1.0267899382258081</v>
      </c>
      <c r="R9" s="81">
        <f t="shared" si="9"/>
        <v>1.0367404867096801</v>
      </c>
    </row>
    <row r="10" spans="1:24">
      <c r="A10" s="82">
        <v>-4</v>
      </c>
      <c r="B10" s="94">
        <f>P9</f>
        <v>1.0168393897419366</v>
      </c>
      <c r="C10" s="94">
        <f t="shared" si="4"/>
        <v>1.1045730174137074</v>
      </c>
      <c r="D10" s="95">
        <f t="shared" si="5"/>
        <v>1.1231733529523638</v>
      </c>
      <c r="E10" s="85">
        <v>160.1481</v>
      </c>
      <c r="F10" s="83">
        <v>499.20859999999999</v>
      </c>
      <c r="G10" s="83">
        <v>239.8826</v>
      </c>
      <c r="H10" s="95">
        <f t="shared" si="6"/>
        <v>0.17809286137738864</v>
      </c>
      <c r="I10" s="95">
        <f t="shared" si="7"/>
        <v>0.55514544348762329</v>
      </c>
      <c r="J10" s="95">
        <f t="shared" si="8"/>
        <v>0.26676169513498799</v>
      </c>
    </row>
    <row r="11" spans="1:24">
      <c r="A11" s="82">
        <v>-6</v>
      </c>
      <c r="B11" s="94">
        <f>O9</f>
        <v>1.0068888412580648</v>
      </c>
      <c r="C11" s="94">
        <f t="shared" si="4"/>
        <v>1.1201174343678673</v>
      </c>
      <c r="D11" s="95">
        <f t="shared" si="5"/>
        <v>1.1278337455636183</v>
      </c>
      <c r="E11" s="83">
        <v>160.1592</v>
      </c>
      <c r="F11" s="83">
        <v>511.61259999999999</v>
      </c>
      <c r="G11" s="83">
        <v>240.1223</v>
      </c>
      <c r="H11" s="95">
        <f t="shared" si="6"/>
        <v>0.1756335521855005</v>
      </c>
      <c r="I11" s="95">
        <f t="shared" si="7"/>
        <v>0.56104387559915125</v>
      </c>
      <c r="J11" s="95">
        <f t="shared" si="8"/>
        <v>0.26332257221534827</v>
      </c>
    </row>
    <row r="12" spans="1:24">
      <c r="A12" s="82">
        <v>-7</v>
      </c>
      <c r="B12" s="94">
        <f>N9</f>
        <v>1</v>
      </c>
      <c r="C12" s="94">
        <f t="shared" si="4"/>
        <v>1.1214546070056253</v>
      </c>
      <c r="D12" s="95">
        <f t="shared" si="5"/>
        <v>1.1214546070056253</v>
      </c>
      <c r="E12" s="83">
        <v>160.1592</v>
      </c>
      <c r="F12" s="83">
        <v>512.70119999999997</v>
      </c>
      <c r="G12" s="83">
        <v>240.1223</v>
      </c>
      <c r="H12" s="95">
        <f t="shared" si="6"/>
        <v>0.17542413454274652</v>
      </c>
      <c r="I12" s="95">
        <f t="shared" si="7"/>
        <v>0.56156726737538398</v>
      </c>
      <c r="J12" s="95">
        <f t="shared" si="8"/>
        <v>0.26300859808186944</v>
      </c>
      <c r="L12" s="66" t="s">
        <v>99</v>
      </c>
      <c r="M12" s="82">
        <v>30.6</v>
      </c>
      <c r="N12" s="66" t="s">
        <v>100</v>
      </c>
    </row>
    <row r="13" spans="1:24">
      <c r="A13" s="82">
        <v>-8</v>
      </c>
      <c r="B13" s="94">
        <f>M9</f>
        <v>0.9946420123548384</v>
      </c>
      <c r="C13" s="94">
        <f t="shared" si="4"/>
        <v>1.1232209621894353</v>
      </c>
      <c r="D13" s="95">
        <f t="shared" si="5"/>
        <v>1.1172027581512378</v>
      </c>
      <c r="E13" s="83">
        <v>160.1592</v>
      </c>
      <c r="F13" s="83">
        <v>514.37890000000004</v>
      </c>
      <c r="G13" s="83">
        <v>239.8826</v>
      </c>
      <c r="H13" s="95">
        <f t="shared" si="6"/>
        <v>0.17514826600054001</v>
      </c>
      <c r="I13" s="95">
        <f t="shared" si="7"/>
        <v>0.56251887123727629</v>
      </c>
      <c r="J13" s="95">
        <f t="shared" si="8"/>
        <v>0.26233286276218376</v>
      </c>
      <c r="L13" s="66" t="s">
        <v>94</v>
      </c>
      <c r="M13" s="84">
        <v>30.6</v>
      </c>
      <c r="N13" s="66" t="s">
        <v>100</v>
      </c>
    </row>
    <row r="14" spans="1:24">
      <c r="L14" s="66" t="s">
        <v>101</v>
      </c>
      <c r="M14" s="82">
        <f>ROUNDDOWN(M12/M13,0)</f>
        <v>1</v>
      </c>
      <c r="N14" s="66" t="s">
        <v>102</v>
      </c>
      <c r="O14" s="62"/>
      <c r="P14" s="62"/>
      <c r="Q14" s="62"/>
    </row>
    <row r="15" spans="1:24">
      <c r="L15" s="66"/>
      <c r="M15" s="66">
        <v>1</v>
      </c>
      <c r="N15" s="66">
        <v>2</v>
      </c>
      <c r="O15" s="66">
        <v>3</v>
      </c>
      <c r="P15" s="66">
        <v>4</v>
      </c>
      <c r="Q15" s="66" t="s">
        <v>93</v>
      </c>
    </row>
    <row r="16" spans="1:24">
      <c r="H16" s="64"/>
      <c r="L16" s="66" t="s">
        <v>92</v>
      </c>
      <c r="M16" s="34">
        <v>660</v>
      </c>
      <c r="N16" s="34">
        <v>1890</v>
      </c>
      <c r="O16" s="34">
        <v>2450</v>
      </c>
      <c r="P16" s="58">
        <v>3300</v>
      </c>
      <c r="Q16" s="84">
        <v>13300</v>
      </c>
    </row>
    <row r="17" spans="12:17">
      <c r="L17" s="66" t="s">
        <v>96</v>
      </c>
      <c r="M17" s="84">
        <f>N16-M16</f>
        <v>1230</v>
      </c>
      <c r="N17" s="84">
        <f>O16-N16</f>
        <v>560</v>
      </c>
      <c r="O17" s="84">
        <f>P16-O16</f>
        <v>850</v>
      </c>
      <c r="P17" s="84">
        <f>Q16-P16</f>
        <v>10000</v>
      </c>
      <c r="Q17" s="62"/>
    </row>
    <row r="18" spans="12:17">
      <c r="L18" s="66" t="s">
        <v>95</v>
      </c>
      <c r="M18" s="85">
        <v>0.05</v>
      </c>
      <c r="N18" s="85">
        <v>0.1</v>
      </c>
      <c r="O18" s="85">
        <v>0.15</v>
      </c>
      <c r="P18" s="85">
        <v>0.2</v>
      </c>
      <c r="Q18" s="62"/>
    </row>
    <row r="19" spans="12:17">
      <c r="L19" s="92"/>
      <c r="M19" s="84">
        <f>M17*M18</f>
        <v>61.5</v>
      </c>
      <c r="N19" s="84">
        <f>N17*N18</f>
        <v>56</v>
      </c>
      <c r="O19" s="84">
        <f>O17*O18</f>
        <v>127.5</v>
      </c>
      <c r="P19" s="84">
        <f>P17*P18</f>
        <v>2000</v>
      </c>
    </row>
    <row r="20" spans="12:17">
      <c r="L20" s="66" t="s">
        <v>98</v>
      </c>
      <c r="M20" s="84">
        <f>SUM(M19:P19)</f>
        <v>2245</v>
      </c>
    </row>
    <row r="21" spans="12:17">
      <c r="L21" s="66" t="s">
        <v>97</v>
      </c>
      <c r="M21" s="86">
        <f xml:space="preserve"> (M20*M14)/M12/1000</f>
        <v>7.3366013071895428E-2</v>
      </c>
    </row>
    <row r="24" spans="12:17">
      <c r="L24" s="90" t="s">
        <v>111</v>
      </c>
      <c r="M24" s="62" t="s">
        <v>79</v>
      </c>
      <c r="N24" s="62"/>
    </row>
    <row r="25" spans="12:17">
      <c r="L25" s="91" t="s">
        <v>105</v>
      </c>
      <c r="M25" s="104">
        <v>58665.45</v>
      </c>
      <c r="N25" s="93">
        <f t="shared" ref="N25:N30" si="10">M25/$M$25</f>
        <v>1</v>
      </c>
    </row>
    <row r="26" spans="12:17">
      <c r="L26" s="90" t="s">
        <v>106</v>
      </c>
      <c r="M26" s="104">
        <v>61205.599999999999</v>
      </c>
      <c r="N26" s="93">
        <f t="shared" si="10"/>
        <v>1.0432989093239717</v>
      </c>
    </row>
    <row r="27" spans="12:17">
      <c r="L27" s="90" t="s">
        <v>107</v>
      </c>
      <c r="M27" s="104">
        <v>64027.24</v>
      </c>
      <c r="N27" s="93">
        <f t="shared" si="10"/>
        <v>1.0913960431565768</v>
      </c>
    </row>
    <row r="28" spans="12:17">
      <c r="L28" s="90" t="s">
        <v>108</v>
      </c>
      <c r="M28" s="104">
        <v>67009.570000000007</v>
      </c>
      <c r="N28" s="93">
        <f t="shared" si="10"/>
        <v>1.1422322678851011</v>
      </c>
    </row>
    <row r="29" spans="12:17">
      <c r="L29" s="90" t="s">
        <v>109</v>
      </c>
      <c r="M29" s="104">
        <v>68231.02</v>
      </c>
      <c r="N29" s="93">
        <f t="shared" si="10"/>
        <v>1.1630528701305454</v>
      </c>
    </row>
    <row r="30" spans="12:17">
      <c r="L30" s="90" t="s">
        <v>110</v>
      </c>
      <c r="M30" s="104">
        <v>68409.98</v>
      </c>
      <c r="N30" s="93">
        <f t="shared" si="10"/>
        <v>1.1661033879395795</v>
      </c>
    </row>
  </sheetData>
  <mergeCells count="1">
    <mergeCell ref="A6:J6"/>
  </mergeCells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813C2-F792-4A4D-B5A1-703E20F191D3}">
  <dimension ref="A1:X30"/>
  <sheetViews>
    <sheetView topLeftCell="A4" zoomScale="92" workbookViewId="0">
      <selection activeCell="I23" sqref="I23"/>
    </sheetView>
  </sheetViews>
  <sheetFormatPr defaultRowHeight="15.75"/>
  <cols>
    <col min="1" max="1" width="11.5" style="61" bestFit="1" customWidth="1"/>
    <col min="2" max="2" width="11.75" style="61" bestFit="1" customWidth="1"/>
    <col min="3" max="3" width="11.375" style="61" bestFit="1" customWidth="1"/>
    <col min="4" max="4" width="8.375" style="61" bestFit="1" customWidth="1"/>
    <col min="5" max="6" width="10.375" style="61" bestFit="1" customWidth="1"/>
    <col min="7" max="7" width="8.5" style="61" bestFit="1" customWidth="1"/>
    <col min="8" max="8" width="11.25" style="61" bestFit="1" customWidth="1"/>
    <col min="9" max="9" width="10.25" style="61" bestFit="1" customWidth="1"/>
    <col min="10" max="10" width="7.625" style="61" bestFit="1" customWidth="1"/>
    <col min="11" max="11" width="12.75" style="61" customWidth="1"/>
    <col min="12" max="12" width="14.125" style="61" bestFit="1" customWidth="1"/>
    <col min="13" max="18" width="16.5" style="61" customWidth="1"/>
    <col min="19" max="16384" width="9" style="61"/>
  </cols>
  <sheetData>
    <row r="1" spans="1:24">
      <c r="A1" s="63" t="s">
        <v>81</v>
      </c>
      <c r="B1" s="61">
        <v>27520</v>
      </c>
      <c r="L1" s="65" t="s">
        <v>90</v>
      </c>
      <c r="M1" s="92">
        <v>-8</v>
      </c>
      <c r="N1" s="67">
        <v>-7</v>
      </c>
      <c r="O1" s="68" t="s">
        <v>88</v>
      </c>
      <c r="P1" s="68" t="s">
        <v>87</v>
      </c>
      <c r="Q1" s="68" t="s">
        <v>86</v>
      </c>
      <c r="R1" s="69" t="s">
        <v>104</v>
      </c>
      <c r="W1" s="62"/>
      <c r="X1" s="62"/>
    </row>
    <row r="2" spans="1:24">
      <c r="A2" s="62" t="s">
        <v>82</v>
      </c>
      <c r="B2" s="61">
        <v>6378</v>
      </c>
      <c r="L2" s="65" t="s">
        <v>91</v>
      </c>
      <c r="M2" s="64">
        <v>-7.0000000000000007E-2</v>
      </c>
      <c r="N2" s="82">
        <v>0</v>
      </c>
      <c r="O2" s="83">
        <v>0.09</v>
      </c>
      <c r="P2" s="83">
        <v>0.22</v>
      </c>
      <c r="Q2" s="83">
        <v>0.35</v>
      </c>
      <c r="R2" s="83">
        <v>0.48</v>
      </c>
      <c r="W2" s="89"/>
      <c r="X2" s="89"/>
    </row>
    <row r="3" spans="1:24">
      <c r="A3" s="63" t="s">
        <v>83</v>
      </c>
      <c r="B3" s="64">
        <v>7.27</v>
      </c>
      <c r="L3" s="70" t="s">
        <v>81</v>
      </c>
      <c r="M3" s="71">
        <v>27520</v>
      </c>
      <c r="N3" s="71">
        <f>B1</f>
        <v>27520</v>
      </c>
      <c r="O3" s="71">
        <v>27520</v>
      </c>
      <c r="P3" s="71">
        <v>27520</v>
      </c>
      <c r="Q3" s="71">
        <v>27520</v>
      </c>
      <c r="R3" s="71">
        <v>27520</v>
      </c>
      <c r="W3" s="88"/>
      <c r="X3" s="89"/>
    </row>
    <row r="4" spans="1:24">
      <c r="A4" s="1" t="s">
        <v>84</v>
      </c>
      <c r="B4" s="61">
        <f>N7</f>
        <v>12240</v>
      </c>
      <c r="L4" s="72" t="s">
        <v>82</v>
      </c>
      <c r="M4" s="71">
        <v>6378</v>
      </c>
      <c r="N4" s="71">
        <f>B2</f>
        <v>6378</v>
      </c>
      <c r="O4" s="71">
        <v>6378</v>
      </c>
      <c r="P4" s="71">
        <v>6378</v>
      </c>
      <c r="Q4" s="71">
        <v>6378</v>
      </c>
      <c r="R4" s="71">
        <v>6378</v>
      </c>
      <c r="W4" s="88"/>
      <c r="X4" s="89"/>
    </row>
    <row r="5" spans="1:24">
      <c r="L5" s="73" t="s">
        <v>83</v>
      </c>
      <c r="M5" s="75">
        <f>$N$5+M2</f>
        <v>7.1999999999999993</v>
      </c>
      <c r="N5" s="74">
        <f>B3</f>
        <v>7.27</v>
      </c>
      <c r="O5" s="75">
        <f>$N$5+O2</f>
        <v>7.3599999999999994</v>
      </c>
      <c r="P5" s="75">
        <f>$N$5+P2</f>
        <v>7.4899999999999993</v>
      </c>
      <c r="Q5" s="75">
        <f>$N$5+Q2</f>
        <v>7.6199999999999992</v>
      </c>
      <c r="R5" s="75">
        <f>$N$5+R2</f>
        <v>7.75</v>
      </c>
      <c r="W5" s="88"/>
      <c r="X5" s="89"/>
    </row>
    <row r="6" spans="1:24">
      <c r="A6" s="112" t="s">
        <v>129</v>
      </c>
      <c r="B6" s="112"/>
      <c r="C6" s="112"/>
      <c r="D6" s="112"/>
      <c r="E6" s="112"/>
      <c r="F6" s="112"/>
      <c r="G6" s="112"/>
      <c r="H6" s="112"/>
      <c r="I6" s="112"/>
      <c r="J6" s="112"/>
      <c r="L6" s="76" t="s">
        <v>80</v>
      </c>
      <c r="M6" s="77">
        <f>M3+M4*(1+M5)</f>
        <v>79819.600000000006</v>
      </c>
      <c r="N6" s="77">
        <f>N3+N4*(1+N5)</f>
        <v>80266.06</v>
      </c>
      <c r="O6" s="77">
        <f t="shared" ref="O6:R6" si="0">O3+O4*(1+O5)</f>
        <v>80840.079999999987</v>
      </c>
      <c r="P6" s="77">
        <f t="shared" si="0"/>
        <v>81669.219999999987</v>
      </c>
      <c r="Q6" s="77">
        <f t="shared" si="0"/>
        <v>82498.359999999986</v>
      </c>
      <c r="R6" s="77">
        <f t="shared" si="0"/>
        <v>83327.5</v>
      </c>
      <c r="W6" s="88"/>
    </row>
    <row r="7" spans="1:24">
      <c r="A7" s="84" t="s">
        <v>111</v>
      </c>
      <c r="B7" s="84" t="s">
        <v>112</v>
      </c>
      <c r="C7" s="84" t="s">
        <v>113</v>
      </c>
      <c r="D7" s="84" t="s">
        <v>60</v>
      </c>
      <c r="E7" s="84" t="s">
        <v>122</v>
      </c>
      <c r="F7" s="84" t="s">
        <v>123</v>
      </c>
      <c r="G7" s="84" t="s">
        <v>124</v>
      </c>
      <c r="H7" s="84" t="s">
        <v>125</v>
      </c>
      <c r="I7" s="84" t="s">
        <v>126</v>
      </c>
      <c r="J7" s="84" t="s">
        <v>127</v>
      </c>
      <c r="L7" s="76" t="s">
        <v>84</v>
      </c>
      <c r="M7" s="78">
        <v>12240</v>
      </c>
      <c r="N7" s="78">
        <v>12240</v>
      </c>
      <c r="O7" s="78">
        <v>12240</v>
      </c>
      <c r="P7" s="78">
        <v>12240</v>
      </c>
      <c r="Q7" s="78">
        <v>12240</v>
      </c>
      <c r="R7" s="78">
        <v>12240</v>
      </c>
      <c r="W7" s="88"/>
      <c r="X7" s="89"/>
    </row>
    <row r="8" spans="1:24">
      <c r="A8" s="84" t="s">
        <v>114</v>
      </c>
      <c r="B8" s="94">
        <f>R9</f>
        <v>1.0367404867096801</v>
      </c>
      <c r="C8" s="94">
        <f>SUM(E8:G8)/SUM(E$8:G$8)</f>
        <v>1</v>
      </c>
      <c r="D8" s="95">
        <f>B8*C8</f>
        <v>1.0367404867096801</v>
      </c>
      <c r="E8" s="83">
        <v>158.30709999999999</v>
      </c>
      <c r="F8" s="83">
        <v>431.79360000000003</v>
      </c>
      <c r="G8" s="83">
        <v>160.16149999999999</v>
      </c>
      <c r="H8" s="95">
        <f>E8/SUM($E8:$G8)</f>
        <v>0.21100236690586308</v>
      </c>
      <c r="I8" s="95">
        <f t="shared" ref="I8:J13" si="1">F8/SUM($E8:$G8)</f>
        <v>0.57552359695050626</v>
      </c>
      <c r="J8" s="95">
        <f t="shared" si="1"/>
        <v>0.21347403614363086</v>
      </c>
      <c r="L8" s="66" t="s">
        <v>85</v>
      </c>
      <c r="M8" s="79">
        <f t="shared" ref="M8" si="2">4*M6+M7</f>
        <v>331518.40000000002</v>
      </c>
      <c r="N8" s="79">
        <f>4*N6+N7</f>
        <v>333304.24</v>
      </c>
      <c r="O8" s="79">
        <f t="shared" ref="O8:R8" si="3">4*O6+O7</f>
        <v>335600.31999999995</v>
      </c>
      <c r="P8" s="79">
        <f t="shared" si="3"/>
        <v>338916.87999999995</v>
      </c>
      <c r="Q8" s="79">
        <f t="shared" si="3"/>
        <v>342233.43999999994</v>
      </c>
      <c r="R8" s="79">
        <f t="shared" si="3"/>
        <v>345550</v>
      </c>
    </row>
    <row r="9" spans="1:24">
      <c r="A9" s="82">
        <v>-2</v>
      </c>
      <c r="B9" s="94">
        <f>Q9</f>
        <v>1.0267899382258081</v>
      </c>
      <c r="C9" s="94">
        <f t="shared" ref="C9:C13" si="4">SUM(E9:G9)/SUM(E$8:G$8)</f>
        <v>1.0158757831595409</v>
      </c>
      <c r="D9" s="95">
        <f t="shared" ref="D9:D13" si="5">B9*C9</f>
        <v>1.0430910326354794</v>
      </c>
      <c r="E9" s="83">
        <v>158.3792</v>
      </c>
      <c r="F9" s="83">
        <v>443.76580000000001</v>
      </c>
      <c r="G9" s="83">
        <v>160.0282</v>
      </c>
      <c r="H9" s="95">
        <f t="shared" ref="H9:H13" si="6">E9/SUM($E9:$G9)</f>
        <v>0.20779948704572662</v>
      </c>
      <c r="I9" s="95">
        <f t="shared" si="1"/>
        <v>0.58223747568138062</v>
      </c>
      <c r="J9" s="95">
        <f t="shared" si="1"/>
        <v>0.20996303727289284</v>
      </c>
      <c r="L9" s="80" t="s">
        <v>89</v>
      </c>
      <c r="M9" s="81">
        <f t="shared" ref="M9:R9" si="7">M8/$N$8</f>
        <v>0.9946420123548384</v>
      </c>
      <c r="N9" s="81">
        <f t="shared" si="7"/>
        <v>1</v>
      </c>
      <c r="O9" s="81">
        <f t="shared" si="7"/>
        <v>1.0068888412580648</v>
      </c>
      <c r="P9" s="81">
        <f t="shared" si="7"/>
        <v>1.0168393897419366</v>
      </c>
      <c r="Q9" s="81">
        <f t="shared" si="7"/>
        <v>1.0267899382258081</v>
      </c>
      <c r="R9" s="81">
        <f t="shared" si="7"/>
        <v>1.0367404867096801</v>
      </c>
    </row>
    <row r="10" spans="1:24">
      <c r="A10" s="82">
        <v>-4</v>
      </c>
      <c r="B10" s="94">
        <f>P9</f>
        <v>1.0168393897419366</v>
      </c>
      <c r="C10" s="94">
        <f t="shared" si="4"/>
        <v>1.0751929125577699</v>
      </c>
      <c r="D10" s="95">
        <f t="shared" si="5"/>
        <v>1.0932985050600981</v>
      </c>
      <c r="E10" s="85">
        <v>159.9761</v>
      </c>
      <c r="F10" s="83">
        <v>486.63670000000002</v>
      </c>
      <c r="G10" s="83">
        <v>160.06379999999999</v>
      </c>
      <c r="H10" s="95">
        <f t="shared" si="6"/>
        <v>0.19831503727764013</v>
      </c>
      <c r="I10" s="95">
        <f t="shared" si="1"/>
        <v>0.60326120777521008</v>
      </c>
      <c r="J10" s="95">
        <f t="shared" si="1"/>
        <v>0.19842375494714981</v>
      </c>
    </row>
    <row r="11" spans="1:24">
      <c r="A11" s="82">
        <v>-6</v>
      </c>
      <c r="B11" s="94">
        <f>O9</f>
        <v>1.0068888412580648</v>
      </c>
      <c r="C11" s="94">
        <f t="shared" si="4"/>
        <v>1.0993227434355617</v>
      </c>
      <c r="D11" s="95">
        <f t="shared" si="5"/>
        <v>1.1068958033064695</v>
      </c>
      <c r="E11" s="83">
        <v>160.1481</v>
      </c>
      <c r="F11" s="83">
        <v>504.71039999999999</v>
      </c>
      <c r="G11" s="83">
        <v>159.92179999999999</v>
      </c>
      <c r="H11" s="95">
        <f t="shared" si="6"/>
        <v>0.19417061731469581</v>
      </c>
      <c r="I11" s="95">
        <f t="shared" si="1"/>
        <v>0.61193314146809763</v>
      </c>
      <c r="J11" s="95">
        <f t="shared" si="1"/>
        <v>0.19389624121720656</v>
      </c>
    </row>
    <row r="12" spans="1:24">
      <c r="A12" s="82">
        <v>-7</v>
      </c>
      <c r="B12" s="94">
        <f>N9</f>
        <v>1</v>
      </c>
      <c r="C12" s="94">
        <f t="shared" si="4"/>
        <v>1.1099966118511637</v>
      </c>
      <c r="D12" s="95">
        <f t="shared" si="5"/>
        <v>1.1099966118511637</v>
      </c>
      <c r="E12" s="83">
        <v>160.16290000000001</v>
      </c>
      <c r="F12" s="83">
        <v>512.49080000000004</v>
      </c>
      <c r="G12" s="83">
        <v>160.13480000000001</v>
      </c>
      <c r="H12" s="95">
        <f t="shared" si="6"/>
        <v>0.19232121961338322</v>
      </c>
      <c r="I12" s="95">
        <f t="shared" si="1"/>
        <v>0.61539130283379273</v>
      </c>
      <c r="J12" s="95">
        <f t="shared" si="1"/>
        <v>0.19228747755282402</v>
      </c>
      <c r="L12" s="66" t="s">
        <v>99</v>
      </c>
      <c r="M12" s="82">
        <v>30.6</v>
      </c>
      <c r="N12" s="66" t="s">
        <v>100</v>
      </c>
    </row>
    <row r="13" spans="1:24">
      <c r="A13" s="82">
        <v>-8</v>
      </c>
      <c r="B13" s="94">
        <f>M9</f>
        <v>0.9946420123548384</v>
      </c>
      <c r="C13" s="94">
        <f t="shared" si="4"/>
        <v>1.1120329666082072</v>
      </c>
      <c r="D13" s="95">
        <f t="shared" si="5"/>
        <v>1.106074707712108</v>
      </c>
      <c r="E13" s="83">
        <v>160.27619999999999</v>
      </c>
      <c r="F13" s="83">
        <v>514.01189999999997</v>
      </c>
      <c r="G13" s="83">
        <v>160.0282</v>
      </c>
      <c r="H13" s="95">
        <f t="shared" si="6"/>
        <v>0.19210484081396947</v>
      </c>
      <c r="I13" s="95">
        <f t="shared" si="1"/>
        <v>0.61608756774858642</v>
      </c>
      <c r="J13" s="95">
        <f t="shared" si="1"/>
        <v>0.19180759143744405</v>
      </c>
      <c r="L13" s="66" t="s">
        <v>94</v>
      </c>
      <c r="M13" s="84">
        <v>30.6</v>
      </c>
      <c r="N13" s="66" t="s">
        <v>100</v>
      </c>
    </row>
    <row r="14" spans="1:24">
      <c r="L14" s="66" t="s">
        <v>101</v>
      </c>
      <c r="M14" s="82">
        <f>ROUNDDOWN(M12/M13,0)</f>
        <v>1</v>
      </c>
      <c r="N14" s="66" t="s">
        <v>102</v>
      </c>
      <c r="O14" s="62"/>
      <c r="P14" s="62"/>
      <c r="Q14" s="62"/>
    </row>
    <row r="15" spans="1:24">
      <c r="L15" s="66"/>
      <c r="M15" s="66">
        <v>1</v>
      </c>
      <c r="N15" s="66">
        <v>2</v>
      </c>
      <c r="O15" s="66">
        <v>3</v>
      </c>
      <c r="P15" s="66">
        <v>4</v>
      </c>
      <c r="Q15" s="66" t="s">
        <v>93</v>
      </c>
    </row>
    <row r="16" spans="1:24">
      <c r="H16" s="64"/>
      <c r="L16" s="66" t="s">
        <v>92</v>
      </c>
      <c r="M16" s="34">
        <v>660</v>
      </c>
      <c r="N16" s="34">
        <v>1890</v>
      </c>
      <c r="O16" s="34">
        <v>2450</v>
      </c>
      <c r="P16" s="58">
        <v>3300</v>
      </c>
      <c r="Q16" s="84">
        <v>13300</v>
      </c>
    </row>
    <row r="17" spans="7:17">
      <c r="L17" s="66" t="s">
        <v>96</v>
      </c>
      <c r="M17" s="84">
        <f>N16-M16</f>
        <v>1230</v>
      </c>
      <c r="N17" s="84">
        <f>O16-N16</f>
        <v>560</v>
      </c>
      <c r="O17" s="84">
        <f>P16-O16</f>
        <v>850</v>
      </c>
      <c r="P17" s="84">
        <f>Q16-P16</f>
        <v>10000</v>
      </c>
      <c r="Q17" s="62"/>
    </row>
    <row r="18" spans="7:17">
      <c r="L18" s="66" t="s">
        <v>95</v>
      </c>
      <c r="M18" s="85">
        <v>0.05</v>
      </c>
      <c r="N18" s="85">
        <v>0.1</v>
      </c>
      <c r="O18" s="85">
        <v>0.15</v>
      </c>
      <c r="P18" s="85">
        <v>0.2</v>
      </c>
      <c r="Q18" s="62"/>
    </row>
    <row r="19" spans="7:17">
      <c r="L19" s="92"/>
      <c r="M19" s="84">
        <f>M17*M18</f>
        <v>61.5</v>
      </c>
      <c r="N19" s="84">
        <f>N17*N18</f>
        <v>56</v>
      </c>
      <c r="O19" s="84">
        <f>O17*O18</f>
        <v>127.5</v>
      </c>
      <c r="P19" s="84">
        <f>P17*P18</f>
        <v>2000</v>
      </c>
    </row>
    <row r="20" spans="7:17">
      <c r="L20" s="66" t="s">
        <v>98</v>
      </c>
      <c r="M20" s="84">
        <f>SUM(M19:P19)</f>
        <v>2245</v>
      </c>
    </row>
    <row r="21" spans="7:17">
      <c r="L21" s="66" t="s">
        <v>97</v>
      </c>
      <c r="M21" s="86">
        <f xml:space="preserve"> (M20*M14)/M12/1000</f>
        <v>7.3366013071895428E-2</v>
      </c>
    </row>
    <row r="24" spans="7:17">
      <c r="G24" s="62" t="s">
        <v>131</v>
      </c>
      <c r="L24" s="90" t="s">
        <v>111</v>
      </c>
      <c r="M24" s="62" t="s">
        <v>79</v>
      </c>
      <c r="N24" s="62"/>
    </row>
    <row r="25" spans="7:17">
      <c r="L25" s="91" t="s">
        <v>105</v>
      </c>
      <c r="M25" s="104">
        <v>58665.45</v>
      </c>
      <c r="N25" s="93">
        <f t="shared" ref="N25:N30" si="8">M25/$M$25</f>
        <v>1</v>
      </c>
    </row>
    <row r="26" spans="7:17">
      <c r="L26" s="90" t="s">
        <v>106</v>
      </c>
      <c r="M26" s="104">
        <v>61205.599999999999</v>
      </c>
      <c r="N26" s="93">
        <f t="shared" si="8"/>
        <v>1.0432989093239717</v>
      </c>
    </row>
    <row r="27" spans="7:17">
      <c r="L27" s="90" t="s">
        <v>107</v>
      </c>
      <c r="M27" s="104">
        <v>64027.24</v>
      </c>
      <c r="N27" s="93">
        <f t="shared" si="8"/>
        <v>1.0913960431565768</v>
      </c>
    </row>
    <row r="28" spans="7:17">
      <c r="L28" s="90" t="s">
        <v>108</v>
      </c>
      <c r="M28" s="104">
        <v>67009.570000000007</v>
      </c>
      <c r="N28" s="93">
        <f t="shared" si="8"/>
        <v>1.1422322678851011</v>
      </c>
    </row>
    <row r="29" spans="7:17">
      <c r="L29" s="90" t="s">
        <v>109</v>
      </c>
      <c r="M29" s="104">
        <v>68231.02</v>
      </c>
      <c r="N29" s="93">
        <f t="shared" si="8"/>
        <v>1.1630528701305454</v>
      </c>
    </row>
    <row r="30" spans="7:17">
      <c r="L30" s="90" t="s">
        <v>110</v>
      </c>
      <c r="M30" s="104">
        <v>68409.98</v>
      </c>
      <c r="N30" s="93">
        <f t="shared" si="8"/>
        <v>1.1661033879395795</v>
      </c>
    </row>
  </sheetData>
  <mergeCells count="1">
    <mergeCell ref="A6:J6"/>
  </mergeCells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4E96-EC63-4B47-A408-9997564BE313}">
  <dimension ref="A1:X30"/>
  <sheetViews>
    <sheetView zoomScale="92" workbookViewId="0">
      <selection activeCell="I22" sqref="I22"/>
    </sheetView>
  </sheetViews>
  <sheetFormatPr defaultRowHeight="15.75"/>
  <cols>
    <col min="1" max="1" width="11.5" style="61" bestFit="1" customWidth="1"/>
    <col min="2" max="2" width="11.75" style="61" bestFit="1" customWidth="1"/>
    <col min="3" max="3" width="11.375" style="61" bestFit="1" customWidth="1"/>
    <col min="4" max="4" width="8.375" style="61" bestFit="1" customWidth="1"/>
    <col min="5" max="6" width="10.375" style="61" bestFit="1" customWidth="1"/>
    <col min="7" max="7" width="8.5" style="61" customWidth="1"/>
    <col min="8" max="8" width="11.25" style="61" bestFit="1" customWidth="1"/>
    <col min="9" max="9" width="10.25" style="61" bestFit="1" customWidth="1"/>
    <col min="10" max="10" width="7.625" style="61" bestFit="1" customWidth="1"/>
    <col min="11" max="11" width="12.75" style="61" customWidth="1"/>
    <col min="12" max="12" width="14.125" style="61" bestFit="1" customWidth="1"/>
    <col min="13" max="18" width="16.5" style="61" customWidth="1"/>
    <col min="19" max="16384" width="9" style="61"/>
  </cols>
  <sheetData>
    <row r="1" spans="1:24">
      <c r="A1" s="63" t="s">
        <v>81</v>
      </c>
      <c r="B1" s="61">
        <v>27520</v>
      </c>
      <c r="L1" s="65" t="s">
        <v>90</v>
      </c>
      <c r="M1" s="92">
        <v>-8</v>
      </c>
      <c r="N1" s="67">
        <v>-7</v>
      </c>
      <c r="O1" s="68" t="s">
        <v>88</v>
      </c>
      <c r="P1" s="68" t="s">
        <v>87</v>
      </c>
      <c r="Q1" s="68" t="s">
        <v>86</v>
      </c>
      <c r="R1" s="69" t="s">
        <v>104</v>
      </c>
      <c r="W1" s="62"/>
      <c r="X1" s="62"/>
    </row>
    <row r="2" spans="1:24">
      <c r="A2" s="62" t="s">
        <v>82</v>
      </c>
      <c r="B2" s="61">
        <v>6378</v>
      </c>
      <c r="L2" s="65" t="s">
        <v>91</v>
      </c>
      <c r="M2" s="64">
        <v>-7.0000000000000007E-2</v>
      </c>
      <c r="N2" s="82">
        <v>0</v>
      </c>
      <c r="O2" s="83">
        <v>0.09</v>
      </c>
      <c r="P2" s="83">
        <v>0.22</v>
      </c>
      <c r="Q2" s="83">
        <v>0.35</v>
      </c>
      <c r="R2" s="83">
        <v>0.48</v>
      </c>
      <c r="W2" s="89"/>
      <c r="X2" s="89"/>
    </row>
    <row r="3" spans="1:24">
      <c r="A3" s="63" t="s">
        <v>83</v>
      </c>
      <c r="B3" s="64">
        <v>7.27</v>
      </c>
      <c r="L3" s="70" t="s">
        <v>81</v>
      </c>
      <c r="M3" s="71">
        <v>27520</v>
      </c>
      <c r="N3" s="71">
        <f>B1</f>
        <v>27520</v>
      </c>
      <c r="O3" s="71">
        <v>27520</v>
      </c>
      <c r="P3" s="71">
        <v>27520</v>
      </c>
      <c r="Q3" s="71">
        <v>27520</v>
      </c>
      <c r="R3" s="71">
        <v>27520</v>
      </c>
      <c r="W3" s="88"/>
      <c r="X3" s="89"/>
    </row>
    <row r="4" spans="1:24">
      <c r="A4" s="1" t="s">
        <v>84</v>
      </c>
      <c r="B4" s="61">
        <f>N7</f>
        <v>12240</v>
      </c>
      <c r="L4" s="72" t="s">
        <v>82</v>
      </c>
      <c r="M4" s="71">
        <v>6378</v>
      </c>
      <c r="N4" s="71">
        <f>B2</f>
        <v>6378</v>
      </c>
      <c r="O4" s="71">
        <v>6378</v>
      </c>
      <c r="P4" s="71">
        <v>6378</v>
      </c>
      <c r="Q4" s="71">
        <v>6378</v>
      </c>
      <c r="R4" s="71">
        <v>6378</v>
      </c>
      <c r="W4" s="88"/>
      <c r="X4" s="89"/>
    </row>
    <row r="5" spans="1:24">
      <c r="L5" s="73" t="s">
        <v>83</v>
      </c>
      <c r="M5" s="75">
        <f>$N$5+M2</f>
        <v>7.1999999999999993</v>
      </c>
      <c r="N5" s="74">
        <f>B3</f>
        <v>7.27</v>
      </c>
      <c r="O5" s="75">
        <f>$N$5+O2</f>
        <v>7.3599999999999994</v>
      </c>
      <c r="P5" s="75">
        <f>$N$5+P2</f>
        <v>7.4899999999999993</v>
      </c>
      <c r="Q5" s="75">
        <f>$N$5+Q2</f>
        <v>7.6199999999999992</v>
      </c>
      <c r="R5" s="75">
        <f>$N$5+R2</f>
        <v>7.75</v>
      </c>
      <c r="W5" s="88"/>
      <c r="X5" s="89"/>
    </row>
    <row r="6" spans="1:24">
      <c r="A6" s="112" t="s">
        <v>134</v>
      </c>
      <c r="B6" s="112"/>
      <c r="C6" s="112"/>
      <c r="D6" s="112"/>
      <c r="E6" s="112"/>
      <c r="F6" s="112"/>
      <c r="G6" s="112"/>
      <c r="H6" s="112"/>
      <c r="I6" s="112"/>
      <c r="J6" s="112"/>
      <c r="L6" s="76" t="s">
        <v>80</v>
      </c>
      <c r="M6" s="77">
        <f>M3+M4*(1+M5)</f>
        <v>79819.600000000006</v>
      </c>
      <c r="N6" s="77">
        <f>N3+N4*(1+N5)</f>
        <v>80266.06</v>
      </c>
      <c r="O6" s="77">
        <f t="shared" ref="O6:R6" si="0">O3+O4*(1+O5)</f>
        <v>80840.079999999987</v>
      </c>
      <c r="P6" s="77">
        <f t="shared" si="0"/>
        <v>81669.219999999987</v>
      </c>
      <c r="Q6" s="77">
        <f t="shared" si="0"/>
        <v>82498.359999999986</v>
      </c>
      <c r="R6" s="77">
        <f t="shared" si="0"/>
        <v>83327.5</v>
      </c>
      <c r="W6" s="88"/>
    </row>
    <row r="7" spans="1:24">
      <c r="A7" s="84" t="s">
        <v>111</v>
      </c>
      <c r="B7" s="84" t="s">
        <v>112</v>
      </c>
      <c r="C7" s="84" t="s">
        <v>113</v>
      </c>
      <c r="D7" s="84" t="s">
        <v>60</v>
      </c>
      <c r="E7" s="84" t="s">
        <v>122</v>
      </c>
      <c r="F7" s="84" t="s">
        <v>123</v>
      </c>
      <c r="G7" s="84" t="s">
        <v>124</v>
      </c>
      <c r="H7" s="84" t="s">
        <v>125</v>
      </c>
      <c r="I7" s="84" t="s">
        <v>126</v>
      </c>
      <c r="J7" s="84" t="s">
        <v>127</v>
      </c>
      <c r="L7" s="76" t="s">
        <v>84</v>
      </c>
      <c r="M7" s="78">
        <v>12240</v>
      </c>
      <c r="N7" s="78">
        <v>12240</v>
      </c>
      <c r="O7" s="78">
        <v>12240</v>
      </c>
      <c r="P7" s="78">
        <v>12240</v>
      </c>
      <c r="Q7" s="78">
        <v>12240</v>
      </c>
      <c r="R7" s="78">
        <v>12240</v>
      </c>
      <c r="W7" s="88"/>
      <c r="X7" s="89"/>
    </row>
    <row r="8" spans="1:24">
      <c r="A8" s="84" t="s">
        <v>114</v>
      </c>
      <c r="B8" s="94">
        <f>R9</f>
        <v>1.0367404867096801</v>
      </c>
      <c r="C8" s="94">
        <f>SUM(E8:G8)/SUM(E$8:G$8)</f>
        <v>1</v>
      </c>
      <c r="D8" s="95">
        <f>B8*C8</f>
        <v>1.0367404867096801</v>
      </c>
      <c r="E8" s="83">
        <v>158.9049</v>
      </c>
      <c r="F8" s="83">
        <v>440.8612</v>
      </c>
      <c r="G8" s="83">
        <v>170.46979999999999</v>
      </c>
      <c r="H8" s="95">
        <f>E8/SUM($E8:$G8)</f>
        <v>0.20630679510004662</v>
      </c>
      <c r="I8" s="95">
        <f t="shared" ref="I8:J13" si="1">F8/SUM($E8:$G8)</f>
        <v>0.57237165912417221</v>
      </c>
      <c r="J8" s="95">
        <f t="shared" si="1"/>
        <v>0.22132154577578114</v>
      </c>
      <c r="L8" s="66" t="s">
        <v>85</v>
      </c>
      <c r="M8" s="79">
        <f t="shared" ref="M8" si="2">4*M6+M7</f>
        <v>331518.40000000002</v>
      </c>
      <c r="N8" s="79">
        <f>4*N6+N7</f>
        <v>333304.24</v>
      </c>
      <c r="O8" s="79">
        <f t="shared" ref="O8:R8" si="3">4*O6+O7</f>
        <v>335600.31999999995</v>
      </c>
      <c r="P8" s="79">
        <f t="shared" si="3"/>
        <v>338916.87999999995</v>
      </c>
      <c r="Q8" s="79">
        <f t="shared" si="3"/>
        <v>342233.43999999994</v>
      </c>
      <c r="R8" s="79">
        <f t="shared" si="3"/>
        <v>345550</v>
      </c>
    </row>
    <row r="9" spans="1:24">
      <c r="A9" s="82">
        <v>-2</v>
      </c>
      <c r="B9" s="94">
        <f>Q9</f>
        <v>1.0267899382258081</v>
      </c>
      <c r="C9" s="94">
        <f t="shared" ref="C9:C13" si="4">SUM(E9:G9)/SUM(E$8:G$8)</f>
        <v>1.027558440212927</v>
      </c>
      <c r="D9" s="95">
        <f t="shared" ref="D9:D13" si="5">B9*C9</f>
        <v>1.0550866673496391</v>
      </c>
      <c r="E9" s="83">
        <v>159.0232</v>
      </c>
      <c r="F9" s="83">
        <v>460.03339999999997</v>
      </c>
      <c r="G9" s="83">
        <v>172.4058</v>
      </c>
      <c r="H9" s="95">
        <f t="shared" ref="H9:H13" si="6">E9/SUM($E9:$G9)</f>
        <v>0.20092325295554153</v>
      </c>
      <c r="I9" s="95">
        <f t="shared" si="1"/>
        <v>0.58124479444633126</v>
      </c>
      <c r="J9" s="95">
        <f t="shared" si="1"/>
        <v>0.21783195259812721</v>
      </c>
      <c r="L9" s="80" t="s">
        <v>89</v>
      </c>
      <c r="M9" s="81">
        <f t="shared" ref="M9:R9" si="7">M8/$N$8</f>
        <v>0.9946420123548384</v>
      </c>
      <c r="N9" s="81">
        <f t="shared" si="7"/>
        <v>1</v>
      </c>
      <c r="O9" s="81">
        <f t="shared" si="7"/>
        <v>1.0068888412580648</v>
      </c>
      <c r="P9" s="81">
        <f t="shared" si="7"/>
        <v>1.0168393897419366</v>
      </c>
      <c r="Q9" s="81">
        <f t="shared" si="7"/>
        <v>1.0267899382258081</v>
      </c>
      <c r="R9" s="81">
        <f t="shared" si="7"/>
        <v>1.0367404867096801</v>
      </c>
    </row>
    <row r="10" spans="1:24">
      <c r="A10" s="82">
        <v>-4</v>
      </c>
      <c r="B10" s="94">
        <f>P9</f>
        <v>1.0168393897419366</v>
      </c>
      <c r="C10" s="94">
        <f>SUM(E10:G10)/SUM(E$8:G$8)</f>
        <v>1.0531590386789296</v>
      </c>
      <c r="D10" s="95">
        <f t="shared" si="5"/>
        <v>1.0708935941914872</v>
      </c>
      <c r="E10" s="85">
        <v>159.14429999999999</v>
      </c>
      <c r="F10" s="83">
        <v>477.60820000000001</v>
      </c>
      <c r="G10" s="83">
        <v>174.42840000000001</v>
      </c>
      <c r="H10" s="95">
        <f t="shared" si="6"/>
        <v>0.19618842110311027</v>
      </c>
      <c r="I10" s="95">
        <f t="shared" si="1"/>
        <v>0.58878136800311742</v>
      </c>
      <c r="J10" s="95">
        <f t="shared" si="1"/>
        <v>0.21503021089377228</v>
      </c>
    </row>
    <row r="11" spans="1:24">
      <c r="A11" s="82">
        <v>-6</v>
      </c>
      <c r="B11" s="94">
        <f>O9</f>
        <v>1.0068888412580648</v>
      </c>
      <c r="C11" s="94">
        <f t="shared" si="4"/>
        <v>1.0678292195936334</v>
      </c>
      <c r="D11" s="95">
        <f t="shared" si="5"/>
        <v>1.0751853255781372</v>
      </c>
      <c r="E11" s="83">
        <v>159.8391</v>
      </c>
      <c r="F11" s="83">
        <v>486.68049999999999</v>
      </c>
      <c r="G11" s="83">
        <v>175.96080000000001</v>
      </c>
      <c r="H11" s="95">
        <f t="shared" si="6"/>
        <v>0.19433788331004606</v>
      </c>
      <c r="I11" s="95">
        <f t="shared" si="1"/>
        <v>0.59172291522083698</v>
      </c>
      <c r="J11" s="95">
        <f t="shared" si="1"/>
        <v>0.2139392014691171</v>
      </c>
    </row>
    <row r="12" spans="1:24">
      <c r="A12" s="82">
        <v>-7</v>
      </c>
      <c r="B12" s="94">
        <f>N9</f>
        <v>1</v>
      </c>
      <c r="C12" s="94">
        <f t="shared" si="4"/>
        <v>1.0791392611016961</v>
      </c>
      <c r="D12" s="95">
        <f t="shared" si="5"/>
        <v>1.0791392611016961</v>
      </c>
      <c r="E12" s="83">
        <v>160.64080000000001</v>
      </c>
      <c r="F12" s="83">
        <v>492.72430000000003</v>
      </c>
      <c r="G12" s="83">
        <v>177.82669999999999</v>
      </c>
      <c r="H12" s="95">
        <f t="shared" si="6"/>
        <v>0.19326562172533465</v>
      </c>
      <c r="I12" s="95">
        <f t="shared" si="1"/>
        <v>0.59279254198609765</v>
      </c>
      <c r="J12" s="95">
        <f t="shared" si="1"/>
        <v>0.2139418362885678</v>
      </c>
      <c r="L12" s="66" t="s">
        <v>99</v>
      </c>
      <c r="M12" s="82">
        <v>30.6</v>
      </c>
      <c r="N12" s="66" t="s">
        <v>100</v>
      </c>
    </row>
    <row r="13" spans="1:24">
      <c r="A13" s="82">
        <v>-8</v>
      </c>
      <c r="B13" s="94">
        <f>M9</f>
        <v>0.9946420123548384</v>
      </c>
      <c r="C13" s="94">
        <f t="shared" si="4"/>
        <v>1.13919047398336</v>
      </c>
      <c r="D13" s="95">
        <f t="shared" si="5"/>
        <v>1.1330867054982714</v>
      </c>
      <c r="E13" s="83">
        <v>161.45240000000001</v>
      </c>
      <c r="F13" s="83">
        <v>537.24059999999997</v>
      </c>
      <c r="G13" s="83">
        <v>178.75239999999999</v>
      </c>
      <c r="H13" s="95">
        <f t="shared" si="6"/>
        <v>0.18400278809370932</v>
      </c>
      <c r="I13" s="95">
        <f t="shared" si="1"/>
        <v>0.6122780973038322</v>
      </c>
      <c r="J13" s="95">
        <f t="shared" si="1"/>
        <v>0.20371911460245845</v>
      </c>
      <c r="L13" s="66" t="s">
        <v>94</v>
      </c>
      <c r="M13" s="84">
        <v>30.6</v>
      </c>
      <c r="N13" s="66" t="s">
        <v>100</v>
      </c>
    </row>
    <row r="14" spans="1:24">
      <c r="L14" s="66" t="s">
        <v>101</v>
      </c>
      <c r="M14" s="82">
        <f>ROUNDDOWN(M12/M13,0)</f>
        <v>1</v>
      </c>
      <c r="N14" s="66" t="s">
        <v>102</v>
      </c>
      <c r="O14" s="62"/>
      <c r="P14" s="62"/>
      <c r="Q14" s="62"/>
    </row>
    <row r="15" spans="1:24">
      <c r="L15" s="66"/>
      <c r="M15" s="66">
        <v>1</v>
      </c>
      <c r="N15" s="66">
        <v>2</v>
      </c>
      <c r="O15" s="66">
        <v>3</v>
      </c>
      <c r="P15" s="66">
        <v>4</v>
      </c>
      <c r="Q15" s="66" t="s">
        <v>93</v>
      </c>
    </row>
    <row r="16" spans="1:24">
      <c r="H16" s="64"/>
      <c r="L16" s="66" t="s">
        <v>92</v>
      </c>
      <c r="M16" s="34">
        <v>660</v>
      </c>
      <c r="N16" s="34">
        <v>1890</v>
      </c>
      <c r="O16" s="34">
        <v>2450</v>
      </c>
      <c r="P16" s="58">
        <v>3300</v>
      </c>
      <c r="Q16" s="84">
        <v>13300</v>
      </c>
    </row>
    <row r="17" spans="7:17">
      <c r="L17" s="66" t="s">
        <v>96</v>
      </c>
      <c r="M17" s="84">
        <f>N16-M16</f>
        <v>1230</v>
      </c>
      <c r="N17" s="84">
        <f>O16-N16</f>
        <v>560</v>
      </c>
      <c r="O17" s="84">
        <f>P16-O16</f>
        <v>850</v>
      </c>
      <c r="P17" s="84">
        <f>Q16-P16</f>
        <v>10000</v>
      </c>
      <c r="Q17" s="62"/>
    </row>
    <row r="18" spans="7:17">
      <c r="L18" s="66" t="s">
        <v>95</v>
      </c>
      <c r="M18" s="85">
        <v>0.05</v>
      </c>
      <c r="N18" s="85">
        <v>0.1</v>
      </c>
      <c r="O18" s="85">
        <v>0.15</v>
      </c>
      <c r="P18" s="85">
        <v>0.2</v>
      </c>
      <c r="Q18" s="62"/>
    </row>
    <row r="19" spans="7:17">
      <c r="L19" s="92"/>
      <c r="M19" s="84">
        <f>M17*M18</f>
        <v>61.5</v>
      </c>
      <c r="N19" s="84">
        <f>N17*N18</f>
        <v>56</v>
      </c>
      <c r="O19" s="84">
        <f>O17*O18</f>
        <v>127.5</v>
      </c>
      <c r="P19" s="84">
        <f>P17*P18</f>
        <v>2000</v>
      </c>
    </row>
    <row r="20" spans="7:17">
      <c r="L20" s="66" t="s">
        <v>98</v>
      </c>
      <c r="M20" s="84">
        <f>SUM(M19:P19)</f>
        <v>2245</v>
      </c>
    </row>
    <row r="21" spans="7:17">
      <c r="L21" s="66" t="s">
        <v>97</v>
      </c>
      <c r="M21" s="86">
        <f xml:space="preserve"> (M20*M14)/M12/1000</f>
        <v>7.3366013071895428E-2</v>
      </c>
    </row>
    <row r="24" spans="7:17">
      <c r="G24" s="62" t="s">
        <v>131</v>
      </c>
      <c r="L24" s="90" t="s">
        <v>111</v>
      </c>
      <c r="M24" s="62" t="s">
        <v>79</v>
      </c>
      <c r="N24" s="62"/>
    </row>
    <row r="25" spans="7:17">
      <c r="L25" s="91" t="s">
        <v>105</v>
      </c>
      <c r="M25" s="104">
        <v>58665.45</v>
      </c>
      <c r="N25" s="93">
        <f t="shared" ref="N25:N30" si="8">M25/$M$25</f>
        <v>1</v>
      </c>
    </row>
    <row r="26" spans="7:17">
      <c r="L26" s="90" t="s">
        <v>106</v>
      </c>
      <c r="M26" s="104">
        <v>61205.599999999999</v>
      </c>
      <c r="N26" s="93">
        <f t="shared" si="8"/>
        <v>1.0432989093239717</v>
      </c>
    </row>
    <row r="27" spans="7:17">
      <c r="L27" s="90" t="s">
        <v>107</v>
      </c>
      <c r="M27" s="104">
        <v>64027.24</v>
      </c>
      <c r="N27" s="93">
        <f t="shared" si="8"/>
        <v>1.0913960431565768</v>
      </c>
    </row>
    <row r="28" spans="7:17">
      <c r="L28" s="90" t="s">
        <v>108</v>
      </c>
      <c r="M28" s="104">
        <v>67009.570000000007</v>
      </c>
      <c r="N28" s="93">
        <f t="shared" si="8"/>
        <v>1.1422322678851011</v>
      </c>
    </row>
    <row r="29" spans="7:17">
      <c r="L29" s="90" t="s">
        <v>109</v>
      </c>
      <c r="M29" s="104">
        <v>68231.02</v>
      </c>
      <c r="N29" s="93">
        <f t="shared" si="8"/>
        <v>1.1630528701305454</v>
      </c>
    </row>
    <row r="30" spans="7:17">
      <c r="L30" s="90" t="s">
        <v>110</v>
      </c>
      <c r="M30" s="104">
        <v>68409.98</v>
      </c>
      <c r="N30" s="93">
        <f t="shared" si="8"/>
        <v>1.1661033879395795</v>
      </c>
    </row>
  </sheetData>
  <mergeCells count="1">
    <mergeCell ref="A6:J6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基礎</vt:lpstr>
      <vt:lpstr>技能% &amp; ONHIT間隔</vt:lpstr>
      <vt:lpstr>CD 與傷害軸計算</vt:lpstr>
      <vt:lpstr>EB FD</vt:lpstr>
      <vt:lpstr>One EB cycle compare</vt:lpstr>
      <vt:lpstr>120 Compare</vt:lpstr>
      <vt:lpstr>180 compare</vt:lpstr>
      <vt:lpstr>one ER 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HY.Lin</cp:lastModifiedBy>
  <dcterms:created xsi:type="dcterms:W3CDTF">2023-07-19T16:21:40Z</dcterms:created>
  <dcterms:modified xsi:type="dcterms:W3CDTF">2024-05-13T09:30:34Z</dcterms:modified>
</cp:coreProperties>
</file>