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S55" i="2" l="1"/>
  <c r="S56" i="2"/>
  <c r="S54" i="2"/>
  <c r="O67" i="2"/>
  <c r="R55" i="2"/>
  <c r="R56" i="2"/>
  <c r="R54" i="2"/>
  <c r="Q55" i="2"/>
  <c r="Q56" i="2"/>
  <c r="Q54" i="2"/>
  <c r="P54" i="2"/>
  <c r="P55" i="2"/>
  <c r="P56" i="2"/>
  <c r="E63" i="2"/>
  <c r="E66" i="2"/>
  <c r="E64" i="2"/>
  <c r="E65" i="2"/>
  <c r="O58" i="2"/>
  <c r="O59" i="2"/>
  <c r="O57" i="2"/>
  <c r="N58" i="2"/>
  <c r="N59" i="2"/>
  <c r="N57" i="2"/>
  <c r="L58" i="2"/>
  <c r="L59" i="2"/>
  <c r="L57" i="2"/>
  <c r="N62" i="2"/>
  <c r="O61" i="2"/>
  <c r="N61" i="2"/>
  <c r="J54" i="2"/>
  <c r="K54" i="2"/>
  <c r="O55" i="2"/>
  <c r="O56" i="2"/>
  <c r="N55" i="2"/>
  <c r="N56" i="2"/>
  <c r="E60" i="2"/>
  <c r="M55" i="2"/>
  <c r="M56" i="2"/>
  <c r="L55" i="2"/>
  <c r="L56" i="2"/>
  <c r="L54" i="2"/>
  <c r="N54" i="2" s="1"/>
  <c r="K55" i="2"/>
  <c r="K56" i="2"/>
  <c r="J55" i="2"/>
  <c r="J56" i="2"/>
  <c r="F59" i="2"/>
  <c r="E59" i="2"/>
  <c r="E58" i="2"/>
  <c r="E57" i="2"/>
  <c r="E56" i="2"/>
  <c r="E55" i="2"/>
  <c r="E54" i="2"/>
  <c r="E53" i="2"/>
  <c r="L49" i="2"/>
  <c r="O26" i="2"/>
  <c r="L30" i="2" s="1"/>
  <c r="N25" i="2"/>
  <c r="O25" i="2" s="1"/>
  <c r="N24" i="2"/>
  <c r="O24" i="2" s="1"/>
  <c r="Q12" i="2"/>
  <c r="Q3" i="2"/>
  <c r="Q4" i="2"/>
  <c r="Q5" i="2"/>
  <c r="Q6" i="2"/>
  <c r="Q7" i="2"/>
  <c r="Q8" i="2"/>
  <c r="Q9" i="2"/>
  <c r="Q10" i="2"/>
  <c r="Q11" i="2"/>
  <c r="Q2" i="2"/>
  <c r="M54" i="2" l="1"/>
  <c r="O54" i="2" s="1"/>
  <c r="L45" i="2"/>
  <c r="L41" i="2"/>
  <c r="L37" i="2"/>
  <c r="N31" i="2"/>
  <c r="N35" i="2"/>
  <c r="N39" i="2"/>
  <c r="N43" i="2"/>
  <c r="N47" i="2"/>
  <c r="N29" i="2"/>
  <c r="N32" i="2"/>
  <c r="N36" i="2"/>
  <c r="N40" i="2"/>
  <c r="N44" i="2"/>
  <c r="N48" i="2"/>
  <c r="N33" i="2"/>
  <c r="N37" i="2"/>
  <c r="N41" i="2"/>
  <c r="N45" i="2"/>
  <c r="N49" i="2"/>
  <c r="N30" i="2"/>
  <c r="N34" i="2"/>
  <c r="N38" i="2"/>
  <c r="N42" i="2"/>
  <c r="N46" i="2"/>
  <c r="N50" i="2"/>
  <c r="M31" i="2"/>
  <c r="M35" i="2"/>
  <c r="M39" i="2"/>
  <c r="M43" i="2"/>
  <c r="M47" i="2"/>
  <c r="M29" i="2"/>
  <c r="M32" i="2"/>
  <c r="M36" i="2"/>
  <c r="M40" i="2"/>
  <c r="M44" i="2"/>
  <c r="M48" i="2"/>
  <c r="M33" i="2"/>
  <c r="M37" i="2"/>
  <c r="M41" i="2"/>
  <c r="M45" i="2"/>
  <c r="M49" i="2"/>
  <c r="M30" i="2"/>
  <c r="M34" i="2"/>
  <c r="M38" i="2"/>
  <c r="M42" i="2"/>
  <c r="M46" i="2"/>
  <c r="M50" i="2"/>
  <c r="L33" i="2"/>
  <c r="L32" i="2"/>
  <c r="L31" i="2"/>
  <c r="L48" i="2"/>
  <c r="L44" i="2"/>
  <c r="L40" i="2"/>
  <c r="L36" i="2"/>
  <c r="L29" i="2"/>
  <c r="L47" i="2"/>
  <c r="L43" i="2"/>
  <c r="L39" i="2"/>
  <c r="L35" i="2"/>
  <c r="L50" i="2"/>
  <c r="L46" i="2"/>
  <c r="L42" i="2"/>
  <c r="L38" i="2"/>
  <c r="L34" i="2"/>
  <c r="Q19" i="2"/>
  <c r="O20" i="2"/>
  <c r="P20" i="2" s="1"/>
  <c r="N16" i="2" l="1"/>
  <c r="O16" i="2"/>
  <c r="P16" i="2"/>
  <c r="Q16" i="2"/>
  <c r="R16" i="2"/>
  <c r="S16" i="2"/>
  <c r="T16" i="2"/>
  <c r="U16" i="2"/>
  <c r="V16" i="2"/>
  <c r="W16" i="2"/>
  <c r="N17" i="2"/>
  <c r="O17" i="2"/>
  <c r="P17" i="2"/>
  <c r="Q17" i="2"/>
  <c r="R17" i="2"/>
  <c r="S17" i="2"/>
  <c r="T17" i="2"/>
  <c r="U17" i="2"/>
  <c r="V17" i="2"/>
  <c r="W17" i="2"/>
  <c r="C7" i="2"/>
  <c r="D7" i="2"/>
  <c r="E7" i="2"/>
  <c r="F7" i="2"/>
  <c r="G7" i="2"/>
  <c r="H7" i="2"/>
  <c r="I7" i="2"/>
  <c r="J7" i="2"/>
  <c r="K7" i="2"/>
  <c r="L7" i="2"/>
  <c r="B7" i="2"/>
  <c r="E2" i="1" l="1"/>
  <c r="E4" i="1" s="1"/>
  <c r="F2" i="1"/>
  <c r="F5" i="1" s="1"/>
  <c r="G2" i="1"/>
  <c r="G4" i="1" s="1"/>
  <c r="H2" i="1"/>
  <c r="I2" i="1"/>
  <c r="J2" i="1"/>
  <c r="J5" i="1" s="1"/>
  <c r="K2" i="1"/>
  <c r="K4" i="1" s="1"/>
  <c r="L2" i="1"/>
  <c r="M2" i="1"/>
  <c r="M5" i="1" s="1"/>
  <c r="N2" i="1"/>
  <c r="N5" i="1" s="1"/>
  <c r="O2" i="1"/>
  <c r="O4" i="1" s="1"/>
  <c r="D2" i="1"/>
  <c r="M4" i="1"/>
  <c r="L4" i="1"/>
  <c r="I4" i="1"/>
  <c r="H4" i="1"/>
  <c r="F4" i="1"/>
  <c r="D4" i="1"/>
  <c r="C4" i="1"/>
  <c r="O5" i="1"/>
  <c r="L5" i="1"/>
  <c r="I5" i="1"/>
  <c r="H5" i="1"/>
  <c r="E5" i="1"/>
  <c r="D5" i="1"/>
  <c r="C5" i="1"/>
  <c r="K5" i="1" l="1"/>
  <c r="G5" i="1"/>
  <c r="N4" i="1"/>
  <c r="J4" i="1"/>
  <c r="B7" i="1"/>
  <c r="B3" i="1"/>
  <c r="F3" i="1"/>
  <c r="J3" i="1"/>
  <c r="N3" i="1"/>
  <c r="B5" i="1"/>
  <c r="B10" i="1" s="1"/>
  <c r="C3" i="1"/>
  <c r="G3" i="1"/>
  <c r="K3" i="1"/>
  <c r="O3" i="1"/>
  <c r="D3" i="1"/>
  <c r="H3" i="1"/>
  <c r="L3" i="1"/>
  <c r="B4" i="1"/>
  <c r="B6" i="1"/>
  <c r="E3" i="1"/>
  <c r="I3" i="1"/>
  <c r="M3" i="1"/>
  <c r="B9" i="1" l="1"/>
  <c r="B8" i="1"/>
  <c r="F11" i="1" s="1"/>
  <c r="F12" i="1" s="1"/>
  <c r="B11" i="1"/>
  <c r="D11" i="1" s="1"/>
  <c r="B12" i="1" l="1"/>
  <c r="D12" i="1" l="1"/>
</calcChain>
</file>

<file path=xl/sharedStrings.xml><?xml version="1.0" encoding="utf-8"?>
<sst xmlns="http://schemas.openxmlformats.org/spreadsheetml/2006/main" count="96" uniqueCount="67">
  <si>
    <t>x</t>
  </si>
  <si>
    <t>y</t>
  </si>
  <si>
    <t>x2</t>
  </si>
  <si>
    <t>y2</t>
  </si>
  <si>
    <t>xy</t>
  </si>
  <si>
    <t>&lt;x&gt;</t>
  </si>
  <si>
    <t>&lt;y&gt;</t>
  </si>
  <si>
    <t>&lt;x2&gt;</t>
  </si>
  <si>
    <t>&lt;y2&gt;</t>
  </si>
  <si>
    <t>&lt;xy&gt;</t>
  </si>
  <si>
    <t>b</t>
  </si>
  <si>
    <t>a</t>
  </si>
  <si>
    <t>k</t>
  </si>
  <si>
    <t>sigma</t>
  </si>
  <si>
    <t>Uзажи</t>
  </si>
  <si>
    <t>В</t>
  </si>
  <si>
    <t>цена дел</t>
  </si>
  <si>
    <t>мА</t>
  </si>
  <si>
    <t>дел</t>
  </si>
  <si>
    <t>U1, В</t>
  </si>
  <si>
    <t>I, дел</t>
  </si>
  <si>
    <t>I, мА</t>
  </si>
  <si>
    <t>U2,В</t>
  </si>
  <si>
    <t>I2, мкА</t>
  </si>
  <si>
    <t>U2, B</t>
  </si>
  <si>
    <t>I = 5мА</t>
  </si>
  <si>
    <t>I = 3мА</t>
  </si>
  <si>
    <t>+</t>
  </si>
  <si>
    <t>-</t>
  </si>
  <si>
    <t>I=1.5мА</t>
  </si>
  <si>
    <t>e/2kTe</t>
  </si>
  <si>
    <t>Te</t>
  </si>
  <si>
    <t>U2</t>
  </si>
  <si>
    <t>Ii</t>
  </si>
  <si>
    <t>mi</t>
  </si>
  <si>
    <t>e</t>
  </si>
  <si>
    <t>ne</t>
  </si>
  <si>
    <t>S</t>
  </si>
  <si>
    <t>Iн</t>
  </si>
  <si>
    <t>Ip</t>
  </si>
  <si>
    <t>si</t>
  </si>
  <si>
    <t>B</t>
  </si>
  <si>
    <t>me</t>
  </si>
  <si>
    <t>wp</t>
  </si>
  <si>
    <t>rD</t>
  </si>
  <si>
    <t>ND</t>
  </si>
  <si>
    <t>говносистема</t>
  </si>
  <si>
    <t>си</t>
  </si>
  <si>
    <t>41 4</t>
  </si>
  <si>
    <t>42 4</t>
  </si>
  <si>
    <t>41 6</t>
  </si>
  <si>
    <t>n</t>
  </si>
  <si>
    <t>5.8 6</t>
  </si>
  <si>
    <t>3.3 4</t>
  </si>
  <si>
    <t>1.6 2</t>
  </si>
  <si>
    <t>107 9</t>
  </si>
  <si>
    <t>75 8</t>
  </si>
  <si>
    <t>ne 10^16</t>
  </si>
  <si>
    <t>144 10</t>
  </si>
  <si>
    <t>wp 10^4</t>
  </si>
  <si>
    <t>rD 10^-5</t>
  </si>
  <si>
    <t>49 3</t>
  </si>
  <si>
    <t>66 5</t>
  </si>
  <si>
    <t>94 10</t>
  </si>
  <si>
    <t>alpha</t>
  </si>
  <si>
    <t>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</si>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</sst>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Лист2!$B$3:$L$3</c:f>
              <c:numCache>
                <c:formatCode>General</c:formatCode>
                <c:ptCount val="11"/>
                <c:pt idx="0">
                  <c:v>23.9</c:v>
                </c:pt>
                <c:pt idx="1">
                  <c:v>24.15</c:v>
                </c:pt>
                <c:pt idx="2">
                  <c:v>24.35</c:v>
                </c:pt>
                <c:pt idx="3">
                  <c:v>24.4</c:v>
                </c:pt>
                <c:pt idx="4">
                  <c:v>24.81</c:v>
                </c:pt>
                <c:pt idx="5">
                  <c:v>25.4</c:v>
                </c:pt>
                <c:pt idx="6">
                  <c:v>26.2</c:v>
                </c:pt>
                <c:pt idx="7">
                  <c:v>27.71</c:v>
                </c:pt>
                <c:pt idx="8">
                  <c:v>30.92</c:v>
                </c:pt>
                <c:pt idx="9">
                  <c:v>34.19</c:v>
                </c:pt>
                <c:pt idx="10">
                  <c:v>35.090000000000003</c:v>
                </c:pt>
              </c:numCache>
            </c:numRef>
          </c:xVal>
          <c:yVal>
            <c:numRef>
              <c:f>Лист2!$B$7:$L$7</c:f>
              <c:numCache>
                <c:formatCode>General</c:formatCode>
                <c:ptCount val="11"/>
                <c:pt idx="0">
                  <c:v>4.5999999999999996</c:v>
                </c:pt>
                <c:pt idx="1">
                  <c:v>4.04</c:v>
                </c:pt>
                <c:pt idx="2">
                  <c:v>3.56</c:v>
                </c:pt>
                <c:pt idx="3">
                  <c:v>3.12</c:v>
                </c:pt>
                <c:pt idx="4">
                  <c:v>2.8</c:v>
                </c:pt>
                <c:pt idx="5">
                  <c:v>2.36</c:v>
                </c:pt>
                <c:pt idx="6">
                  <c:v>2</c:v>
                </c:pt>
                <c:pt idx="7">
                  <c:v>1.56</c:v>
                </c:pt>
                <c:pt idx="8">
                  <c:v>1.2</c:v>
                </c:pt>
                <c:pt idx="9">
                  <c:v>0.8</c:v>
                </c:pt>
                <c:pt idx="10">
                  <c:v>0.52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93536"/>
        <c:axId val="203795072"/>
      </c:scatterChart>
      <c:valAx>
        <c:axId val="20379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795072"/>
        <c:crosses val="autoZero"/>
        <c:crossBetween val="midCat"/>
      </c:valAx>
      <c:valAx>
        <c:axId val="20379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93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129540</xdr:colOff>
      <xdr:row>26</xdr:row>
      <xdr:rowOff>133350</xdr:rowOff>
    </xdr:from>
    <xdr:to>
      <xdr:col>22</xdr:col>
      <xdr:colOff>434340</xdr:colOff>
      <xdr:row>41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K12" sqref="K12"/>
    </sheetView>
  </sheetViews>
  <sheetFormatPr defaultRowHeight="14.4" x14ac:dyDescent="0.3"/>
  <sheetData>
    <row r="1" spans="1:15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3">
      <c r="A2" t="s">
        <v>1</v>
      </c>
      <c r="B2">
        <v>1</v>
      </c>
      <c r="C2">
        <v>4</v>
      </c>
      <c r="D2">
        <f>D1*D1</f>
        <v>9</v>
      </c>
      <c r="E2">
        <f t="shared" ref="E2:O2" si="0">E1*E1</f>
        <v>16</v>
      </c>
      <c r="F2">
        <f t="shared" si="0"/>
        <v>25</v>
      </c>
      <c r="G2">
        <f t="shared" si="0"/>
        <v>36</v>
      </c>
      <c r="H2">
        <f t="shared" si="0"/>
        <v>49</v>
      </c>
      <c r="I2">
        <f t="shared" si="0"/>
        <v>64</v>
      </c>
      <c r="J2">
        <f t="shared" si="0"/>
        <v>81</v>
      </c>
      <c r="K2">
        <f t="shared" si="0"/>
        <v>100</v>
      </c>
      <c r="L2">
        <f t="shared" si="0"/>
        <v>121</v>
      </c>
      <c r="M2">
        <f t="shared" si="0"/>
        <v>144</v>
      </c>
      <c r="N2">
        <f t="shared" si="0"/>
        <v>169</v>
      </c>
      <c r="O2">
        <f t="shared" si="0"/>
        <v>196</v>
      </c>
    </row>
    <row r="3" spans="1:15" x14ac:dyDescent="0.3">
      <c r="A3" t="s">
        <v>2</v>
      </c>
      <c r="B3">
        <f>B1*B1</f>
        <v>1</v>
      </c>
      <c r="C3">
        <f t="shared" ref="C3:O4" si="1">C1*C1</f>
        <v>4</v>
      </c>
      <c r="D3">
        <f t="shared" si="1"/>
        <v>9</v>
      </c>
      <c r="E3">
        <f t="shared" si="1"/>
        <v>16</v>
      </c>
      <c r="F3">
        <f t="shared" si="1"/>
        <v>25</v>
      </c>
      <c r="G3">
        <f t="shared" si="1"/>
        <v>36</v>
      </c>
      <c r="H3">
        <f t="shared" si="1"/>
        <v>49</v>
      </c>
      <c r="I3">
        <f t="shared" si="1"/>
        <v>64</v>
      </c>
      <c r="J3">
        <f t="shared" si="1"/>
        <v>81</v>
      </c>
      <c r="K3">
        <f t="shared" si="1"/>
        <v>100</v>
      </c>
      <c r="L3">
        <f t="shared" si="1"/>
        <v>121</v>
      </c>
      <c r="M3">
        <f t="shared" si="1"/>
        <v>144</v>
      </c>
      <c r="N3">
        <f t="shared" si="1"/>
        <v>169</v>
      </c>
      <c r="O3">
        <f t="shared" si="1"/>
        <v>196</v>
      </c>
    </row>
    <row r="4" spans="1:15" x14ac:dyDescent="0.3">
      <c r="A4" t="s">
        <v>3</v>
      </c>
      <c r="B4">
        <f>B2*B2</f>
        <v>1</v>
      </c>
      <c r="C4">
        <f t="shared" si="1"/>
        <v>16</v>
      </c>
      <c r="D4">
        <f t="shared" si="1"/>
        <v>81</v>
      </c>
      <c r="E4">
        <f t="shared" si="1"/>
        <v>256</v>
      </c>
      <c r="F4">
        <f t="shared" si="1"/>
        <v>625</v>
      </c>
      <c r="G4">
        <f t="shared" si="1"/>
        <v>1296</v>
      </c>
      <c r="H4">
        <f t="shared" si="1"/>
        <v>2401</v>
      </c>
      <c r="I4">
        <f t="shared" si="1"/>
        <v>4096</v>
      </c>
      <c r="J4">
        <f t="shared" si="1"/>
        <v>6561</v>
      </c>
      <c r="K4">
        <f t="shared" si="1"/>
        <v>10000</v>
      </c>
      <c r="L4">
        <f t="shared" si="1"/>
        <v>14641</v>
      </c>
      <c r="M4">
        <f t="shared" si="1"/>
        <v>20736</v>
      </c>
      <c r="N4">
        <f t="shared" si="1"/>
        <v>28561</v>
      </c>
      <c r="O4">
        <f t="shared" si="1"/>
        <v>38416</v>
      </c>
    </row>
    <row r="5" spans="1:15" x14ac:dyDescent="0.3">
      <c r="A5" t="s">
        <v>4</v>
      </c>
      <c r="B5">
        <f>B1*B2</f>
        <v>1</v>
      </c>
      <c r="C5">
        <f t="shared" ref="C5:O5" si="2">C1*C2</f>
        <v>8</v>
      </c>
      <c r="D5">
        <f t="shared" si="2"/>
        <v>27</v>
      </c>
      <c r="E5">
        <f t="shared" si="2"/>
        <v>64</v>
      </c>
      <c r="F5">
        <f t="shared" si="2"/>
        <v>125</v>
      </c>
      <c r="G5">
        <f t="shared" si="2"/>
        <v>216</v>
      </c>
      <c r="H5">
        <f t="shared" si="2"/>
        <v>343</v>
      </c>
      <c r="I5">
        <f t="shared" si="2"/>
        <v>512</v>
      </c>
      <c r="J5">
        <f t="shared" si="2"/>
        <v>729</v>
      </c>
      <c r="K5">
        <f t="shared" si="2"/>
        <v>1000</v>
      </c>
      <c r="L5">
        <f t="shared" si="2"/>
        <v>1331</v>
      </c>
      <c r="M5">
        <f t="shared" si="2"/>
        <v>1728</v>
      </c>
      <c r="N5">
        <f t="shared" si="2"/>
        <v>2197</v>
      </c>
      <c r="O5">
        <f t="shared" si="2"/>
        <v>2744</v>
      </c>
    </row>
    <row r="6" spans="1:15" x14ac:dyDescent="0.3">
      <c r="A6" t="s">
        <v>5</v>
      </c>
      <c r="B6">
        <f>SUM(B1:O1)/14</f>
        <v>7.5</v>
      </c>
    </row>
    <row r="7" spans="1:15" x14ac:dyDescent="0.3">
      <c r="A7" t="s">
        <v>6</v>
      </c>
      <c r="B7">
        <f>SUM(B2:O2)/14</f>
        <v>72.5</v>
      </c>
    </row>
    <row r="8" spans="1:15" x14ac:dyDescent="0.3">
      <c r="A8" t="s">
        <v>7</v>
      </c>
      <c r="B8">
        <f>SUM(B3:O3)/14</f>
        <v>72.5</v>
      </c>
    </row>
    <row r="9" spans="1:15" x14ac:dyDescent="0.3">
      <c r="A9" t="s">
        <v>8</v>
      </c>
      <c r="B9">
        <f>SUM(B4:O4)/14</f>
        <v>9120.5</v>
      </c>
    </row>
    <row r="10" spans="1:15" x14ac:dyDescent="0.3">
      <c r="A10" t="s">
        <v>9</v>
      </c>
      <c r="B10">
        <f>SUM(B5:O5)/14</f>
        <v>787.5</v>
      </c>
    </row>
    <row r="11" spans="1:15" x14ac:dyDescent="0.3">
      <c r="A11" t="s">
        <v>10</v>
      </c>
      <c r="B11">
        <f>(B10-B6*B7)/(B8-B6*B6)</f>
        <v>15</v>
      </c>
      <c r="C11" t="s">
        <v>11</v>
      </c>
      <c r="D11">
        <f>B7-B11*B6</f>
        <v>-40</v>
      </c>
      <c r="E11" t="s">
        <v>12</v>
      </c>
      <c r="F11">
        <f>B10/B8</f>
        <v>10.862068965517242</v>
      </c>
    </row>
    <row r="12" spans="1:15" x14ac:dyDescent="0.3">
      <c r="A12" t="s">
        <v>13</v>
      </c>
      <c r="B12">
        <f>SQRT(((B9-B7*B7)/(B8-B6*B6) - B11*B11)/14)</f>
        <v>0.95618288746751534</v>
      </c>
      <c r="C12" t="s">
        <v>13</v>
      </c>
      <c r="D12">
        <f>B12*SQRT(B8)</f>
        <v>8.1416039135857226</v>
      </c>
      <c r="E12" t="s">
        <v>13</v>
      </c>
      <c r="F12">
        <f>SQRT((B9/B8) - F11*F11)/SQRT(15)</f>
        <v>0.72182443795090911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8"/>
  <sheetViews>
    <sheetView tabSelected="1" topLeftCell="A46" workbookViewId="0">
      <selection activeCell="S62" sqref="S62"/>
    </sheetView>
  </sheetViews>
  <sheetFormatPr defaultRowHeight="14.4" x14ac:dyDescent="0.3"/>
  <cols>
    <col min="5" max="6" width="12" bestFit="1" customWidth="1"/>
    <col min="12" max="13" width="12" bestFit="1" customWidth="1"/>
    <col min="14" max="14" width="7" customWidth="1"/>
    <col min="15" max="15" width="9.5546875" customWidth="1"/>
    <col min="16" max="16" width="10.5546875" customWidth="1"/>
    <col min="17" max="17" width="12" bestFit="1" customWidth="1"/>
    <col min="19" max="19" width="12" bestFit="1" customWidth="1"/>
  </cols>
  <sheetData>
    <row r="1" spans="1:23" x14ac:dyDescent="0.3">
      <c r="A1" t="s">
        <v>14</v>
      </c>
      <c r="B1">
        <v>25.7</v>
      </c>
      <c r="C1" t="s">
        <v>15</v>
      </c>
    </row>
    <row r="2" spans="1:23" x14ac:dyDescent="0.3">
      <c r="O2">
        <v>23.9</v>
      </c>
      <c r="P2">
        <v>115</v>
      </c>
      <c r="Q2">
        <f>P2*6/150</f>
        <v>4.5999999999999996</v>
      </c>
      <c r="R2">
        <v>23.9</v>
      </c>
    </row>
    <row r="3" spans="1:23" x14ac:dyDescent="0.3">
      <c r="A3" t="s">
        <v>19</v>
      </c>
      <c r="B3">
        <v>23.9</v>
      </c>
      <c r="C3">
        <v>24.15</v>
      </c>
      <c r="D3">
        <v>24.35</v>
      </c>
      <c r="E3">
        <v>24.4</v>
      </c>
      <c r="F3">
        <v>24.81</v>
      </c>
      <c r="G3">
        <v>25.4</v>
      </c>
      <c r="H3">
        <v>26.2</v>
      </c>
      <c r="I3">
        <v>27.71</v>
      </c>
      <c r="J3">
        <v>30.92</v>
      </c>
      <c r="K3">
        <v>34.19</v>
      </c>
      <c r="L3">
        <v>35.090000000000003</v>
      </c>
      <c r="O3">
        <v>24.15</v>
      </c>
      <c r="P3">
        <v>101</v>
      </c>
      <c r="Q3">
        <f t="shared" ref="Q3:Q11" si="0">P3*6/150</f>
        <v>4.04</v>
      </c>
      <c r="R3">
        <v>24.15</v>
      </c>
    </row>
    <row r="4" spans="1:23" x14ac:dyDescent="0.3">
      <c r="A4" t="s">
        <v>20</v>
      </c>
      <c r="B4">
        <v>115</v>
      </c>
      <c r="C4">
        <v>101</v>
      </c>
      <c r="D4">
        <v>89</v>
      </c>
      <c r="E4">
        <v>78</v>
      </c>
      <c r="F4">
        <v>70</v>
      </c>
      <c r="G4">
        <v>59</v>
      </c>
      <c r="H4">
        <v>50</v>
      </c>
      <c r="I4">
        <v>39</v>
      </c>
      <c r="J4">
        <v>30</v>
      </c>
      <c r="K4">
        <v>20</v>
      </c>
      <c r="L4">
        <v>13</v>
      </c>
      <c r="O4">
        <v>24.35</v>
      </c>
      <c r="P4">
        <v>89</v>
      </c>
      <c r="Q4">
        <f t="shared" si="0"/>
        <v>3.56</v>
      </c>
      <c r="R4">
        <v>24.35</v>
      </c>
    </row>
    <row r="5" spans="1:23" x14ac:dyDescent="0.3">
      <c r="A5" t="s">
        <v>16</v>
      </c>
      <c r="B5">
        <v>6</v>
      </c>
      <c r="C5" t="s">
        <v>17</v>
      </c>
      <c r="O5">
        <v>24.4</v>
      </c>
      <c r="P5">
        <v>78</v>
      </c>
      <c r="Q5">
        <f t="shared" si="0"/>
        <v>3.12</v>
      </c>
      <c r="R5">
        <v>24.4</v>
      </c>
    </row>
    <row r="6" spans="1:23" x14ac:dyDescent="0.3">
      <c r="A6" t="s">
        <v>18</v>
      </c>
      <c r="B6">
        <v>150</v>
      </c>
      <c r="O6">
        <v>24.81</v>
      </c>
      <c r="P6">
        <v>70</v>
      </c>
      <c r="Q6">
        <f t="shared" si="0"/>
        <v>2.8</v>
      </c>
      <c r="R6">
        <v>24.81</v>
      </c>
    </row>
    <row r="7" spans="1:23" x14ac:dyDescent="0.3">
      <c r="A7" t="s">
        <v>21</v>
      </c>
      <c r="B7">
        <f>B4*6/150</f>
        <v>4.5999999999999996</v>
      </c>
      <c r="C7">
        <f t="shared" ref="C7:L7" si="1">C4*6/150</f>
        <v>4.04</v>
      </c>
      <c r="D7">
        <f t="shared" si="1"/>
        <v>3.56</v>
      </c>
      <c r="E7">
        <f t="shared" si="1"/>
        <v>3.12</v>
      </c>
      <c r="F7">
        <f t="shared" si="1"/>
        <v>2.8</v>
      </c>
      <c r="G7">
        <f t="shared" si="1"/>
        <v>2.36</v>
      </c>
      <c r="H7">
        <f t="shared" si="1"/>
        <v>2</v>
      </c>
      <c r="I7">
        <f t="shared" si="1"/>
        <v>1.56</v>
      </c>
      <c r="J7">
        <f t="shared" si="1"/>
        <v>1.2</v>
      </c>
      <c r="K7">
        <f t="shared" si="1"/>
        <v>0.8</v>
      </c>
      <c r="L7">
        <f t="shared" si="1"/>
        <v>0.52</v>
      </c>
      <c r="O7">
        <v>25.4</v>
      </c>
      <c r="P7">
        <v>59</v>
      </c>
      <c r="Q7">
        <f t="shared" si="0"/>
        <v>2.36</v>
      </c>
      <c r="R7">
        <v>25.4</v>
      </c>
    </row>
    <row r="8" spans="1:23" x14ac:dyDescent="0.3">
      <c r="O8">
        <v>26.2</v>
      </c>
      <c r="P8">
        <v>50</v>
      </c>
      <c r="Q8">
        <f t="shared" si="0"/>
        <v>2</v>
      </c>
      <c r="R8">
        <v>26.2</v>
      </c>
    </row>
    <row r="9" spans="1:23" x14ac:dyDescent="0.3">
      <c r="A9" t="s">
        <v>25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O9">
        <v>27.71</v>
      </c>
      <c r="P9">
        <v>39</v>
      </c>
      <c r="Q9">
        <f t="shared" si="0"/>
        <v>1.56</v>
      </c>
      <c r="R9">
        <v>27.71</v>
      </c>
    </row>
    <row r="10" spans="1:23" x14ac:dyDescent="0.3">
      <c r="A10" t="s">
        <v>22</v>
      </c>
      <c r="B10">
        <v>25.01</v>
      </c>
      <c r="C10">
        <v>22.11</v>
      </c>
      <c r="D10">
        <v>19.23</v>
      </c>
      <c r="E10">
        <v>16.04</v>
      </c>
      <c r="F10">
        <v>13.02</v>
      </c>
      <c r="G10">
        <v>10</v>
      </c>
      <c r="H10">
        <v>8.0399999999999991</v>
      </c>
      <c r="I10">
        <v>6.01</v>
      </c>
      <c r="J10">
        <v>4.12</v>
      </c>
      <c r="K10">
        <v>2.1</v>
      </c>
      <c r="L10">
        <v>0.54</v>
      </c>
      <c r="M10" t="s">
        <v>27</v>
      </c>
      <c r="O10">
        <v>30.92</v>
      </c>
      <c r="P10">
        <v>30</v>
      </c>
      <c r="Q10">
        <f t="shared" si="0"/>
        <v>1.2</v>
      </c>
      <c r="R10">
        <v>30.92</v>
      </c>
    </row>
    <row r="11" spans="1:23" x14ac:dyDescent="0.3">
      <c r="A11" t="s">
        <v>23</v>
      </c>
      <c r="B11">
        <v>126.2</v>
      </c>
      <c r="C11">
        <v>122.84</v>
      </c>
      <c r="D11">
        <v>119.52</v>
      </c>
      <c r="E11">
        <v>114.79</v>
      </c>
      <c r="F11">
        <v>108.13</v>
      </c>
      <c r="G11">
        <v>97.96</v>
      </c>
      <c r="H11">
        <v>86.26</v>
      </c>
      <c r="I11">
        <v>71</v>
      </c>
      <c r="J11">
        <v>53.02</v>
      </c>
      <c r="K11">
        <v>28.54</v>
      </c>
      <c r="L11">
        <v>7.63</v>
      </c>
      <c r="O11">
        <v>34.19</v>
      </c>
      <c r="P11">
        <v>20</v>
      </c>
      <c r="Q11">
        <f t="shared" si="0"/>
        <v>0.8</v>
      </c>
      <c r="R11">
        <v>34.19</v>
      </c>
    </row>
    <row r="12" spans="1:23" x14ac:dyDescent="0.3">
      <c r="A12" t="s">
        <v>24</v>
      </c>
      <c r="B12">
        <v>-24.99</v>
      </c>
      <c r="C12">
        <v>-22.03</v>
      </c>
      <c r="D12">
        <v>-19.02</v>
      </c>
      <c r="E12">
        <v>-16.12</v>
      </c>
      <c r="F12">
        <v>-13</v>
      </c>
      <c r="G12">
        <v>-10.130000000000001</v>
      </c>
      <c r="H12">
        <v>-8.06</v>
      </c>
      <c r="I12">
        <v>-6.12</v>
      </c>
      <c r="J12">
        <v>-4.0199999999999996</v>
      </c>
      <c r="K12">
        <v>-2.02</v>
      </c>
      <c r="L12">
        <v>-0.54</v>
      </c>
      <c r="M12" t="s">
        <v>28</v>
      </c>
      <c r="O12">
        <v>35.090000000000003</v>
      </c>
      <c r="P12">
        <v>13</v>
      </c>
      <c r="Q12">
        <f>P12*6/150</f>
        <v>0.52</v>
      </c>
      <c r="R12">
        <v>35.090000000000003</v>
      </c>
    </row>
    <row r="13" spans="1:23" x14ac:dyDescent="0.3">
      <c r="A13" t="s">
        <v>23</v>
      </c>
      <c r="B13">
        <v>-139.72999999999999</v>
      </c>
      <c r="C13">
        <v>-136.27000000000001</v>
      </c>
      <c r="D13">
        <v>-132.46</v>
      </c>
      <c r="E13">
        <v>-128.01</v>
      </c>
      <c r="F13">
        <v>-120.47</v>
      </c>
      <c r="G13">
        <v>-109.59</v>
      </c>
      <c r="H13">
        <v>-98.48</v>
      </c>
      <c r="I13">
        <v>-83.83</v>
      </c>
      <c r="J13">
        <v>-64.11</v>
      </c>
      <c r="K13">
        <v>-40.200000000000003</v>
      </c>
      <c r="L13">
        <v>-20.79</v>
      </c>
    </row>
    <row r="15" spans="1:23" x14ac:dyDescent="0.3">
      <c r="A15" t="s">
        <v>26</v>
      </c>
      <c r="M15" t="s">
        <v>27</v>
      </c>
    </row>
    <row r="16" spans="1:23" x14ac:dyDescent="0.3">
      <c r="A16" t="s">
        <v>22</v>
      </c>
      <c r="B16">
        <v>25.13</v>
      </c>
      <c r="C16">
        <v>22.23</v>
      </c>
      <c r="D16">
        <v>19.14</v>
      </c>
      <c r="E16">
        <v>16.23</v>
      </c>
      <c r="F16">
        <v>13.12</v>
      </c>
      <c r="G16">
        <v>10.210000000000001</v>
      </c>
      <c r="H16">
        <v>8.0399999999999991</v>
      </c>
      <c r="I16">
        <v>5.98</v>
      </c>
      <c r="J16">
        <v>4.1399999999999997</v>
      </c>
      <c r="K16">
        <v>2.04</v>
      </c>
      <c r="L16">
        <v>0.48</v>
      </c>
      <c r="N16">
        <f>C18*(-1)</f>
        <v>22.09</v>
      </c>
      <c r="O16">
        <f>D18*(-1)</f>
        <v>19.170000000000002</v>
      </c>
      <c r="P16">
        <f>E18*(-1)</f>
        <v>16.170000000000002</v>
      </c>
      <c r="Q16">
        <f>F18*(-1)</f>
        <v>13.25</v>
      </c>
      <c r="R16">
        <f>G18*(-1)</f>
        <v>10.050000000000001</v>
      </c>
      <c r="S16">
        <f>H18*(-1)</f>
        <v>8.16</v>
      </c>
      <c r="T16">
        <f>I18*(-1)</f>
        <v>5.98</v>
      </c>
      <c r="U16">
        <f>J18*(-1)</f>
        <v>4.1100000000000003</v>
      </c>
      <c r="V16">
        <f>K18*(-1)</f>
        <v>2.0499999999999998</v>
      </c>
      <c r="W16">
        <f>L18*(-1)</f>
        <v>0.56999999999999995</v>
      </c>
    </row>
    <row r="17" spans="1:23" x14ac:dyDescent="0.3">
      <c r="A17" t="s">
        <v>23</v>
      </c>
      <c r="B17">
        <v>66.86</v>
      </c>
      <c r="C17">
        <v>65.03</v>
      </c>
      <c r="D17">
        <v>62.97</v>
      </c>
      <c r="E17">
        <v>60.95</v>
      </c>
      <c r="F17">
        <v>57.65</v>
      </c>
      <c r="G17">
        <v>52.78</v>
      </c>
      <c r="H17">
        <v>46.57</v>
      </c>
      <c r="I17">
        <v>37.85</v>
      </c>
      <c r="J17">
        <v>27.46</v>
      </c>
      <c r="K17">
        <v>12.96</v>
      </c>
      <c r="L17">
        <v>8.5000000000000006E-2</v>
      </c>
      <c r="N17">
        <f>C19*(-1)</f>
        <v>74.819999999999993</v>
      </c>
      <c r="O17">
        <f>D19*(-1)</f>
        <v>72.64</v>
      </c>
      <c r="P17">
        <f>E19*(-1)</f>
        <v>70.34</v>
      </c>
      <c r="Q17">
        <f>F19*(-1)</f>
        <v>67.17</v>
      </c>
      <c r="R17">
        <f>G19*(-1)</f>
        <v>61.57</v>
      </c>
      <c r="S17">
        <f>H19*(-1)</f>
        <v>55.87</v>
      </c>
      <c r="T17">
        <f>I19*(-1)</f>
        <v>46.69</v>
      </c>
      <c r="U17">
        <f>J19*(-1)</f>
        <v>36.1</v>
      </c>
      <c r="V17">
        <f>K19*(-1)</f>
        <v>21.73</v>
      </c>
      <c r="W17">
        <f>L19*(-1)</f>
        <v>10.27</v>
      </c>
    </row>
    <row r="18" spans="1:23" x14ac:dyDescent="0.3">
      <c r="A18" t="s">
        <v>24</v>
      </c>
      <c r="B18">
        <v>-24.98</v>
      </c>
      <c r="C18">
        <v>-22.09</v>
      </c>
      <c r="D18">
        <v>-19.170000000000002</v>
      </c>
      <c r="E18">
        <v>-16.170000000000002</v>
      </c>
      <c r="F18">
        <v>-13.25</v>
      </c>
      <c r="G18">
        <v>-10.050000000000001</v>
      </c>
      <c r="H18">
        <v>-8.16</v>
      </c>
      <c r="I18">
        <v>-5.98</v>
      </c>
      <c r="J18">
        <v>-4.1100000000000003</v>
      </c>
      <c r="K18">
        <v>-2.0499999999999998</v>
      </c>
      <c r="L18">
        <v>-0.56999999999999995</v>
      </c>
    </row>
    <row r="19" spans="1:23" x14ac:dyDescent="0.3">
      <c r="A19" t="s">
        <v>23</v>
      </c>
      <c r="B19">
        <v>-77</v>
      </c>
      <c r="C19">
        <v>-74.819999999999993</v>
      </c>
      <c r="D19">
        <v>-72.64</v>
      </c>
      <c r="E19">
        <v>-70.34</v>
      </c>
      <c r="F19">
        <v>-67.17</v>
      </c>
      <c r="G19">
        <v>-61.57</v>
      </c>
      <c r="H19">
        <v>-55.87</v>
      </c>
      <c r="I19">
        <v>-46.69</v>
      </c>
      <c r="J19">
        <v>-36.1</v>
      </c>
      <c r="K19">
        <v>-21.73</v>
      </c>
      <c r="L19">
        <v>-10.27</v>
      </c>
      <c r="N19" t="s">
        <v>30</v>
      </c>
      <c r="O19">
        <v>0.14219999999999999</v>
      </c>
      <c r="P19">
        <v>0.02</v>
      </c>
      <c r="Q19">
        <f>P19/O19</f>
        <v>0.14064697609001409</v>
      </c>
    </row>
    <row r="20" spans="1:23" x14ac:dyDescent="0.3">
      <c r="M20" t="s">
        <v>28</v>
      </c>
      <c r="N20" t="s">
        <v>31</v>
      </c>
      <c r="O20">
        <f>(1.6*10^(-19))/(2*1.38*10^(-23)*O19)</f>
        <v>40767.239446380896</v>
      </c>
      <c r="P20">
        <f>O20*P19/O19</f>
        <v>5733.7889516710129</v>
      </c>
    </row>
    <row r="21" spans="1:23" x14ac:dyDescent="0.3">
      <c r="A21" t="s">
        <v>29</v>
      </c>
    </row>
    <row r="22" spans="1:23" x14ac:dyDescent="0.3">
      <c r="A22" t="s">
        <v>22</v>
      </c>
      <c r="B22">
        <v>25.15</v>
      </c>
      <c r="C22">
        <v>22.09</v>
      </c>
      <c r="D22">
        <v>19.059999999999999</v>
      </c>
      <c r="E22">
        <v>16.09</v>
      </c>
      <c r="F22">
        <v>13.13</v>
      </c>
      <c r="G22">
        <v>10.18</v>
      </c>
      <c r="H22">
        <v>7.98</v>
      </c>
      <c r="I22">
        <v>5.99</v>
      </c>
      <c r="J22">
        <v>4.03</v>
      </c>
      <c r="K22">
        <v>2.13</v>
      </c>
      <c r="L22">
        <v>0.52</v>
      </c>
      <c r="M22" t="s">
        <v>27</v>
      </c>
    </row>
    <row r="23" spans="1:23" x14ac:dyDescent="0.3">
      <c r="A23" t="s">
        <v>23</v>
      </c>
      <c r="B23">
        <v>33.67</v>
      </c>
      <c r="C23">
        <v>32.5</v>
      </c>
      <c r="D23">
        <v>31.36</v>
      </c>
      <c r="E23">
        <v>30.18</v>
      </c>
      <c r="F23">
        <v>28.78</v>
      </c>
      <c r="G23">
        <v>26.37</v>
      </c>
      <c r="H23">
        <v>23.24</v>
      </c>
      <c r="I23">
        <v>19.09</v>
      </c>
      <c r="J23">
        <v>13.5</v>
      </c>
      <c r="K23">
        <v>6.61</v>
      </c>
      <c r="L23">
        <v>0.04</v>
      </c>
    </row>
    <row r="24" spans="1:23" x14ac:dyDescent="0.3">
      <c r="A24" t="s">
        <v>24</v>
      </c>
      <c r="B24">
        <v>-25.11</v>
      </c>
      <c r="C24">
        <v>-23.02</v>
      </c>
      <c r="D24">
        <v>-18.96</v>
      </c>
      <c r="E24">
        <v>-16.12</v>
      </c>
      <c r="F24">
        <v>-13.09</v>
      </c>
      <c r="G24">
        <v>-10.039999999999999</v>
      </c>
      <c r="H24">
        <v>-8.0299999999999994</v>
      </c>
      <c r="I24">
        <v>-6.26</v>
      </c>
      <c r="J24">
        <v>-4.04</v>
      </c>
      <c r="K24">
        <v>-2.0499999999999998</v>
      </c>
      <c r="L24">
        <v>-0.47</v>
      </c>
      <c r="M24" t="s">
        <v>28</v>
      </c>
      <c r="N24">
        <f>AVERAGE(H29:H50)</f>
        <v>-2.7090909090909081</v>
      </c>
      <c r="O24">
        <f>N24/2</f>
        <v>-1.3545454545454541</v>
      </c>
    </row>
    <row r="25" spans="1:23" x14ac:dyDescent="0.3">
      <c r="A25" t="s">
        <v>23</v>
      </c>
      <c r="B25">
        <v>-40.020000000000003</v>
      </c>
      <c r="C25">
        <v>-39.049999999999997</v>
      </c>
      <c r="D25">
        <v>-37.15</v>
      </c>
      <c r="E25">
        <v>-35.9</v>
      </c>
      <c r="F25">
        <v>-34.200000000000003</v>
      </c>
      <c r="G25">
        <v>-31.49</v>
      </c>
      <c r="H25">
        <v>-28.49</v>
      </c>
      <c r="I25">
        <v>-24.73</v>
      </c>
      <c r="J25">
        <v>-18.3</v>
      </c>
      <c r="K25">
        <v>-11.05</v>
      </c>
      <c r="L25">
        <v>-4.5599999999999996</v>
      </c>
      <c r="N25">
        <f>AVERAGE(E29:E50)</f>
        <v>-4.6834090909090911</v>
      </c>
      <c r="O25">
        <f>N25/2</f>
        <v>-2.3417045454545455</v>
      </c>
    </row>
    <row r="26" spans="1:23" x14ac:dyDescent="0.3">
      <c r="O26">
        <f>AVERAGE(B29:B50)/2</f>
        <v>-3.1375000000000015</v>
      </c>
    </row>
    <row r="28" spans="1:23" x14ac:dyDescent="0.3">
      <c r="A28" t="s">
        <v>32</v>
      </c>
    </row>
    <row r="29" spans="1:23" x14ac:dyDescent="0.3">
      <c r="A29">
        <v>25.01</v>
      </c>
      <c r="B29">
        <v>126.2</v>
      </c>
      <c r="D29">
        <v>25.13</v>
      </c>
      <c r="E29">
        <v>66.86</v>
      </c>
      <c r="G29">
        <v>25.15</v>
      </c>
      <c r="H29">
        <v>33.67</v>
      </c>
      <c r="L29">
        <f>B29-$O$26</f>
        <v>129.33750000000001</v>
      </c>
      <c r="M29">
        <f>E29-$O$25</f>
        <v>69.201704545454547</v>
      </c>
      <c r="N29">
        <f>H29-$O$24</f>
        <v>35.024545454545454</v>
      </c>
    </row>
    <row r="30" spans="1:23" x14ac:dyDescent="0.3">
      <c r="A30">
        <v>22.11</v>
      </c>
      <c r="B30">
        <v>122.84</v>
      </c>
      <c r="D30">
        <v>22.23</v>
      </c>
      <c r="E30">
        <v>65.03</v>
      </c>
      <c r="G30">
        <v>22.09</v>
      </c>
      <c r="H30">
        <v>32.5</v>
      </c>
      <c r="L30">
        <f>B30-$O$26</f>
        <v>125.97750000000001</v>
      </c>
      <c r="M30">
        <f>E30-$O$25</f>
        <v>67.371704545454548</v>
      </c>
      <c r="N30">
        <f>H30-$O$24</f>
        <v>33.854545454545452</v>
      </c>
    </row>
    <row r="31" spans="1:23" x14ac:dyDescent="0.3">
      <c r="A31">
        <v>19.23</v>
      </c>
      <c r="B31">
        <v>119.52</v>
      </c>
      <c r="D31">
        <v>19.14</v>
      </c>
      <c r="E31">
        <v>62.97</v>
      </c>
      <c r="G31">
        <v>19.059999999999999</v>
      </c>
      <c r="H31">
        <v>31.36</v>
      </c>
      <c r="L31">
        <f>B31-$O$26</f>
        <v>122.6575</v>
      </c>
      <c r="M31">
        <f>E31-$O$25</f>
        <v>65.311704545454546</v>
      </c>
      <c r="N31">
        <f>H31-$O$24</f>
        <v>32.714545454545451</v>
      </c>
    </row>
    <row r="32" spans="1:23" x14ac:dyDescent="0.3">
      <c r="A32">
        <v>16.04</v>
      </c>
      <c r="B32">
        <v>114.79</v>
      </c>
      <c r="D32">
        <v>16.23</v>
      </c>
      <c r="E32">
        <v>60.95</v>
      </c>
      <c r="G32">
        <v>16.09</v>
      </c>
      <c r="H32">
        <v>30.18</v>
      </c>
      <c r="L32">
        <f>B32-$O$26</f>
        <v>117.92750000000001</v>
      </c>
      <c r="M32">
        <f>E32-$O$25</f>
        <v>63.29170454545455</v>
      </c>
      <c r="N32">
        <f>H32-$O$24</f>
        <v>31.534545454545455</v>
      </c>
    </row>
    <row r="33" spans="1:47" x14ac:dyDescent="0.3">
      <c r="A33">
        <v>13.02</v>
      </c>
      <c r="B33">
        <v>108.13</v>
      </c>
      <c r="D33">
        <v>13.12</v>
      </c>
      <c r="E33">
        <v>57.65</v>
      </c>
      <c r="G33">
        <v>13.13</v>
      </c>
      <c r="H33">
        <v>28.78</v>
      </c>
      <c r="L33">
        <f>B33-$O$26</f>
        <v>111.2675</v>
      </c>
      <c r="M33">
        <f>E33-$O$25</f>
        <v>59.991704545454546</v>
      </c>
      <c r="N33">
        <f>H33-$O$24</f>
        <v>30.134545454545457</v>
      </c>
    </row>
    <row r="34" spans="1:47" x14ac:dyDescent="0.3">
      <c r="A34">
        <v>10</v>
      </c>
      <c r="B34">
        <v>97.96</v>
      </c>
      <c r="D34">
        <v>10.210000000000001</v>
      </c>
      <c r="E34">
        <v>52.78</v>
      </c>
      <c r="G34">
        <v>10.18</v>
      </c>
      <c r="H34">
        <v>26.37</v>
      </c>
      <c r="L34">
        <f>B34-$O$26</f>
        <v>101.0975</v>
      </c>
      <c r="M34">
        <f>E34-$O$25</f>
        <v>55.121704545454548</v>
      </c>
      <c r="N34">
        <f>H34-$O$24</f>
        <v>27.724545454545456</v>
      </c>
    </row>
    <row r="35" spans="1:47" x14ac:dyDescent="0.3">
      <c r="A35">
        <v>8.0399999999999991</v>
      </c>
      <c r="B35">
        <v>86.26</v>
      </c>
      <c r="D35">
        <v>8.0399999999999991</v>
      </c>
      <c r="E35">
        <v>46.57</v>
      </c>
      <c r="G35">
        <v>7.98</v>
      </c>
      <c r="H35">
        <v>23.24</v>
      </c>
      <c r="L35">
        <f>B35-$O$26</f>
        <v>89.397500000000008</v>
      </c>
      <c r="M35">
        <f>E35-$O$25</f>
        <v>48.911704545454548</v>
      </c>
      <c r="N35">
        <f>H35-$O$24</f>
        <v>24.594545454545454</v>
      </c>
    </row>
    <row r="36" spans="1:47" x14ac:dyDescent="0.3">
      <c r="A36">
        <v>6.01</v>
      </c>
      <c r="B36">
        <v>71</v>
      </c>
      <c r="D36">
        <v>5.98</v>
      </c>
      <c r="E36">
        <v>37.85</v>
      </c>
      <c r="G36">
        <v>5.99</v>
      </c>
      <c r="H36">
        <v>19.09</v>
      </c>
      <c r="L36">
        <f>B36-$O$26</f>
        <v>74.137500000000003</v>
      </c>
      <c r="M36">
        <f>E36-$O$25</f>
        <v>40.191704545454549</v>
      </c>
      <c r="N36">
        <f>H36-$O$24</f>
        <v>20.444545454545455</v>
      </c>
    </row>
    <row r="37" spans="1:47" x14ac:dyDescent="0.3">
      <c r="A37">
        <v>4.12</v>
      </c>
      <c r="B37">
        <v>53.02</v>
      </c>
      <c r="D37">
        <v>4.1399999999999997</v>
      </c>
      <c r="E37">
        <v>27.46</v>
      </c>
      <c r="G37">
        <v>4.03</v>
      </c>
      <c r="H37">
        <v>13.5</v>
      </c>
      <c r="L37">
        <f>B37-$O$26</f>
        <v>56.157500000000006</v>
      </c>
      <c r="M37">
        <f>E37-$O$25</f>
        <v>29.801704545454548</v>
      </c>
      <c r="N37">
        <f>H37-$O$24</f>
        <v>14.854545454545454</v>
      </c>
    </row>
    <row r="38" spans="1:47" x14ac:dyDescent="0.3">
      <c r="A38">
        <v>2.1</v>
      </c>
      <c r="B38">
        <v>28.54</v>
      </c>
      <c r="D38">
        <v>2.04</v>
      </c>
      <c r="E38">
        <v>12.96</v>
      </c>
      <c r="G38">
        <v>2.13</v>
      </c>
      <c r="H38">
        <v>6.61</v>
      </c>
      <c r="L38">
        <f>B38-$O$26</f>
        <v>31.677500000000002</v>
      </c>
      <c r="M38">
        <f>E38-$O$25</f>
        <v>15.301704545454546</v>
      </c>
      <c r="N38">
        <f>H38-$O$24</f>
        <v>7.9645454545454548</v>
      </c>
    </row>
    <row r="39" spans="1:47" x14ac:dyDescent="0.3">
      <c r="A39">
        <v>0.54</v>
      </c>
      <c r="B39">
        <v>7.63</v>
      </c>
      <c r="D39">
        <v>0.48</v>
      </c>
      <c r="E39">
        <v>8.5000000000000006E-2</v>
      </c>
      <c r="G39">
        <v>0.52</v>
      </c>
      <c r="H39">
        <v>0.04</v>
      </c>
      <c r="L39">
        <f>B39-$O$26</f>
        <v>10.767500000000002</v>
      </c>
      <c r="M39">
        <f>E39-$O$25</f>
        <v>2.4267045454545455</v>
      </c>
      <c r="N39">
        <f>H39-$O$24</f>
        <v>1.3945454545454541</v>
      </c>
    </row>
    <row r="40" spans="1:47" x14ac:dyDescent="0.3">
      <c r="A40">
        <v>-24.99</v>
      </c>
      <c r="B40">
        <v>-139.72999999999999</v>
      </c>
      <c r="D40">
        <v>-24.98</v>
      </c>
      <c r="E40">
        <v>-77</v>
      </c>
      <c r="G40">
        <v>-25.11</v>
      </c>
      <c r="H40">
        <v>-40.020000000000003</v>
      </c>
      <c r="L40">
        <f>B40-$O$26</f>
        <v>-136.5925</v>
      </c>
      <c r="M40">
        <f>E40-$O$25</f>
        <v>-74.658295454545453</v>
      </c>
      <c r="N40">
        <f>H40-$O$24</f>
        <v>-38.665454545454551</v>
      </c>
    </row>
    <row r="41" spans="1:47" x14ac:dyDescent="0.3">
      <c r="A41">
        <v>-22.03</v>
      </c>
      <c r="B41">
        <v>-136.27000000000001</v>
      </c>
      <c r="D41">
        <v>-22.09</v>
      </c>
      <c r="E41">
        <v>-74.819999999999993</v>
      </c>
      <c r="G41">
        <v>-23.02</v>
      </c>
      <c r="H41">
        <v>-39.049999999999997</v>
      </c>
      <c r="L41">
        <f>B41-$O$26</f>
        <v>-133.13250000000002</v>
      </c>
      <c r="M41">
        <f>E41-$O$25</f>
        <v>-72.478295454545446</v>
      </c>
      <c r="N41">
        <f>H41-$O$24</f>
        <v>-37.695454545454545</v>
      </c>
    </row>
    <row r="42" spans="1:47" x14ac:dyDescent="0.3">
      <c r="A42">
        <v>-19.02</v>
      </c>
      <c r="B42">
        <v>-132.46</v>
      </c>
      <c r="D42">
        <v>-19.170000000000002</v>
      </c>
      <c r="E42">
        <v>-72.64</v>
      </c>
      <c r="G42">
        <v>-18.96</v>
      </c>
      <c r="H42">
        <v>-37.15</v>
      </c>
      <c r="L42">
        <f>B42-$O$26</f>
        <v>-129.32250000000002</v>
      </c>
      <c r="M42">
        <f>E42-$O$25</f>
        <v>-70.298295454545453</v>
      </c>
      <c r="N42">
        <f>H42-$O$24</f>
        <v>-35.795454545454547</v>
      </c>
    </row>
    <row r="43" spans="1:47" x14ac:dyDescent="0.3">
      <c r="A43">
        <v>-16.12</v>
      </c>
      <c r="B43">
        <v>-128.01</v>
      </c>
      <c r="D43">
        <v>-16.170000000000002</v>
      </c>
      <c r="E43">
        <v>-70.34</v>
      </c>
      <c r="G43">
        <v>-16.12</v>
      </c>
      <c r="H43">
        <v>-35.9</v>
      </c>
      <c r="L43">
        <f>B43-$O$26</f>
        <v>-124.87249999999999</v>
      </c>
      <c r="M43">
        <f>E43-$O$25</f>
        <v>-67.998295454545456</v>
      </c>
      <c r="N43">
        <f>H43-$O$24</f>
        <v>-34.545454545454547</v>
      </c>
    </row>
    <row r="44" spans="1:47" x14ac:dyDescent="0.3">
      <c r="A44">
        <v>-13</v>
      </c>
      <c r="B44">
        <v>-120.47</v>
      </c>
      <c r="D44">
        <v>-13.25</v>
      </c>
      <c r="E44">
        <v>-67.17</v>
      </c>
      <c r="G44">
        <v>-13.09</v>
      </c>
      <c r="H44">
        <v>-34.200000000000003</v>
      </c>
      <c r="L44">
        <f>B44-$O$26</f>
        <v>-117.3325</v>
      </c>
      <c r="M44">
        <f>E44-$O$25</f>
        <v>-64.828295454545454</v>
      </c>
      <c r="N44">
        <f>H44-$O$24</f>
        <v>-32.845454545454551</v>
      </c>
    </row>
    <row r="45" spans="1:47" x14ac:dyDescent="0.3">
      <c r="A45">
        <v>-10.130000000000001</v>
      </c>
      <c r="B45">
        <v>-109.59</v>
      </c>
      <c r="D45">
        <v>-10.050000000000001</v>
      </c>
      <c r="E45">
        <v>-61.57</v>
      </c>
      <c r="G45">
        <v>-10.039999999999999</v>
      </c>
      <c r="H45">
        <v>-31.49</v>
      </c>
      <c r="L45">
        <f>B45-$O$26</f>
        <v>-106.4525</v>
      </c>
      <c r="M45">
        <f>E45-$O$25</f>
        <v>-59.228295454545453</v>
      </c>
      <c r="N45">
        <f>H45-$O$24</f>
        <v>-30.135454545454543</v>
      </c>
    </row>
    <row r="46" spans="1:47" x14ac:dyDescent="0.3">
      <c r="A46">
        <v>-8.06</v>
      </c>
      <c r="B46">
        <v>-98.48</v>
      </c>
      <c r="D46">
        <v>-8.16</v>
      </c>
      <c r="E46">
        <v>-55.87</v>
      </c>
      <c r="G46">
        <v>-8.0299999999999994</v>
      </c>
      <c r="H46">
        <v>-28.49</v>
      </c>
      <c r="L46">
        <f>B46-$O$26</f>
        <v>-95.342500000000001</v>
      </c>
      <c r="M46">
        <f>E46-$O$25</f>
        <v>-53.52829545454545</v>
      </c>
      <c r="N46">
        <f>H46-$O$24</f>
        <v>-27.135454545454543</v>
      </c>
      <c r="AJ46" t="s">
        <v>23</v>
      </c>
      <c r="AK46">
        <v>126.2</v>
      </c>
      <c r="AL46">
        <v>122.84</v>
      </c>
      <c r="AM46">
        <v>119.52</v>
      </c>
      <c r="AN46">
        <v>114.79</v>
      </c>
      <c r="AO46">
        <v>108.13</v>
      </c>
      <c r="AP46">
        <v>97.96</v>
      </c>
      <c r="AQ46">
        <v>86.26</v>
      </c>
      <c r="AR46">
        <v>71</v>
      </c>
      <c r="AS46">
        <v>53.02</v>
      </c>
      <c r="AT46">
        <v>28.54</v>
      </c>
      <c r="AU46">
        <v>7.63</v>
      </c>
    </row>
    <row r="47" spans="1:47" x14ac:dyDescent="0.3">
      <c r="A47">
        <v>-6.12</v>
      </c>
      <c r="B47">
        <v>-83.83</v>
      </c>
      <c r="D47">
        <v>-5.98</v>
      </c>
      <c r="E47">
        <v>-46.69</v>
      </c>
      <c r="G47">
        <v>-6.26</v>
      </c>
      <c r="H47">
        <v>-24.73</v>
      </c>
      <c r="L47">
        <f>B47-$O$26</f>
        <v>-80.692499999999995</v>
      </c>
      <c r="M47">
        <f>E47-$O$25</f>
        <v>-44.34829545454545</v>
      </c>
      <c r="N47">
        <f>H47-$O$24</f>
        <v>-23.375454545454545</v>
      </c>
    </row>
    <row r="48" spans="1:47" x14ac:dyDescent="0.3">
      <c r="A48">
        <v>-4.0199999999999996</v>
      </c>
      <c r="B48">
        <v>-64.11</v>
      </c>
      <c r="D48">
        <v>-4.1100000000000003</v>
      </c>
      <c r="E48">
        <v>-36.1</v>
      </c>
      <c r="G48">
        <v>-4.04</v>
      </c>
      <c r="H48">
        <v>-18.3</v>
      </c>
      <c r="L48">
        <f>B48-$O$26</f>
        <v>-60.972499999999997</v>
      </c>
      <c r="M48">
        <f>E48-$O$25</f>
        <v>-33.758295454545454</v>
      </c>
      <c r="N48">
        <f>H48-$O$24</f>
        <v>-16.945454545454545</v>
      </c>
    </row>
    <row r="49" spans="1:19" x14ac:dyDescent="0.3">
      <c r="A49">
        <v>-2.02</v>
      </c>
      <c r="B49">
        <v>-40.200000000000003</v>
      </c>
      <c r="D49">
        <v>-2.0499999999999998</v>
      </c>
      <c r="E49">
        <v>-21.73</v>
      </c>
      <c r="G49">
        <v>-2.0499999999999998</v>
      </c>
      <c r="H49">
        <v>-11.05</v>
      </c>
      <c r="L49">
        <f>B49-$O$26</f>
        <v>-37.0625</v>
      </c>
      <c r="M49">
        <f>E49-$O$25</f>
        <v>-19.388295454545457</v>
      </c>
      <c r="N49">
        <f>H49-$O$24</f>
        <v>-9.6954545454545471</v>
      </c>
    </row>
    <row r="50" spans="1:19" x14ac:dyDescent="0.3">
      <c r="A50">
        <v>-0.54</v>
      </c>
      <c r="B50">
        <v>-20.79</v>
      </c>
      <c r="D50">
        <v>-0.56999999999999995</v>
      </c>
      <c r="E50">
        <v>-10.27</v>
      </c>
      <c r="G50">
        <v>-0.47</v>
      </c>
      <c r="H50">
        <v>-4.5599999999999996</v>
      </c>
      <c r="L50">
        <f>B50-$O$26</f>
        <v>-17.652499999999996</v>
      </c>
      <c r="M50">
        <f>E50-$O$25</f>
        <v>-7.928295454545454</v>
      </c>
      <c r="N50">
        <f>H50-$O$24</f>
        <v>-3.2054545454545456</v>
      </c>
    </row>
    <row r="52" spans="1:19" x14ac:dyDescent="0.3">
      <c r="D52" t="s">
        <v>47</v>
      </c>
      <c r="H52">
        <v>1</v>
      </c>
      <c r="I52">
        <v>2</v>
      </c>
      <c r="J52">
        <v>3</v>
      </c>
    </row>
    <row r="53" spans="1:19" x14ac:dyDescent="0.3">
      <c r="D53" t="s">
        <v>33</v>
      </c>
      <c r="E53">
        <f>43*10^(-6)</f>
        <v>4.2999999999999995E-5</v>
      </c>
      <c r="G53" t="s">
        <v>39</v>
      </c>
      <c r="H53" t="s">
        <v>38</v>
      </c>
      <c r="I53" t="s">
        <v>13</v>
      </c>
      <c r="J53" t="s">
        <v>31</v>
      </c>
      <c r="K53" t="s">
        <v>13</v>
      </c>
      <c r="L53" t="s">
        <v>36</v>
      </c>
      <c r="M53" t="s">
        <v>13</v>
      </c>
      <c r="N53" t="s">
        <v>43</v>
      </c>
      <c r="P53" t="s">
        <v>44</v>
      </c>
      <c r="Q53" t="s">
        <v>40</v>
      </c>
      <c r="R53" t="s">
        <v>45</v>
      </c>
      <c r="S53" t="s">
        <v>64</v>
      </c>
    </row>
    <row r="54" spans="1:19" x14ac:dyDescent="0.3">
      <c r="D54" t="s">
        <v>31</v>
      </c>
      <c r="E54">
        <f>5.8*10^4</f>
        <v>58000</v>
      </c>
      <c r="G54">
        <v>5</v>
      </c>
      <c r="H54">
        <v>102</v>
      </c>
      <c r="I54">
        <v>8</v>
      </c>
      <c r="J54">
        <f>$E$56/(2*$E$58*H59)</f>
        <v>40539.170973953587</v>
      </c>
      <c r="K54">
        <f>J54*I59/H59</f>
        <v>3685.3791794503263</v>
      </c>
      <c r="L54">
        <f>H54*10^(-6)/(0.4*$E$56*$E$59*SQRT(2*$E$58*J54/$E$55))</f>
        <v>5.8448786890139432E+16</v>
      </c>
      <c r="M54">
        <f>L54*SQRT((I54/H54)^2 +0.5 *(K54/J54)^2)</f>
        <v>5927211797467670</v>
      </c>
      <c r="N54">
        <f>SQRT(4*PI()*L54*$E$56*$E$56/$E$60)</f>
        <v>143744.74255590793</v>
      </c>
      <c r="O54">
        <f>N54*SQRT(0.5*(M54/L54)^2)</f>
        <v>10307.466120083549</v>
      </c>
      <c r="P54">
        <f>SQRT($E$63*300/(4*PI()*L57*$E$65*$E$65))</f>
        <v>4.9461382395876914E-4</v>
      </c>
      <c r="Q54">
        <f>P54*M54/(SQRT(2)*L54)</f>
        <v>3.5467142257373949E-5</v>
      </c>
      <c r="R54">
        <f>4*PI()*P54*P54*P54*L57/3</f>
        <v>29.62530716419711</v>
      </c>
      <c r="S54">
        <f>L54/$O$67</f>
        <v>2.4197797772517728E-6</v>
      </c>
    </row>
    <row r="55" spans="1:19" x14ac:dyDescent="0.3">
      <c r="D55" t="s">
        <v>34</v>
      </c>
      <c r="E55">
        <f>22*1.66*10^(-27)</f>
        <v>3.6519999999999998E-26</v>
      </c>
      <c r="G55">
        <v>3</v>
      </c>
      <c r="H55">
        <v>58</v>
      </c>
      <c r="I55">
        <v>5</v>
      </c>
      <c r="J55">
        <f t="shared" ref="J55:J56" si="2">$E$56/(2*$E$58*H60)</f>
        <v>42314.60911879826</v>
      </c>
      <c r="K55">
        <f t="shared" ref="K55:K56" si="3">J55*I60/H60</f>
        <v>4324.1206398771938</v>
      </c>
      <c r="L55">
        <f t="shared" ref="L55:L56" si="4">H55*10^(-6)/(0.4*$E$56*$E$59*SQRT(2*$E$58*J55/$E$55))</f>
        <v>3.2530863279711932E+16</v>
      </c>
      <c r="M55">
        <f t="shared" ref="M55:M56" si="5">L55*SQRT((I55/H55)^2 +0.5 *(K55/J55)^2)</f>
        <v>3659252876108097.5</v>
      </c>
      <c r="N55">
        <f t="shared" ref="N55:N56" si="6">SQRT(4*PI()*L55*$E$56*$E$56/$E$60)</f>
        <v>107238.81657451087</v>
      </c>
      <c r="O55">
        <f t="shared" ref="O55:O56" si="7">N55*SQRT(0.5*(M55/L55)^2)</f>
        <v>8529.7018177317987</v>
      </c>
      <c r="P55">
        <f t="shared" ref="P55:P56" si="8">SQRT($E$63*300/(4*PI()*L58*$E$65*$E$65))</f>
        <v>6.6298882308297915E-4</v>
      </c>
      <c r="Q55">
        <f t="shared" ref="Q55:Q56" si="9">P55*M55/(SQRT(2)*L55)</f>
        <v>5.2733675641203295E-5</v>
      </c>
      <c r="R55">
        <f t="shared" ref="R55:R56" si="10">4*PI()*P55*P55*P55*L58/3</f>
        <v>39.710268049240945</v>
      </c>
      <c r="S55">
        <f t="shared" ref="S55:S56" si="11">L55/$O$67</f>
        <v>1.3467777397800741E-6</v>
      </c>
    </row>
    <row r="56" spans="1:19" x14ac:dyDescent="0.3">
      <c r="D56" t="s">
        <v>35</v>
      </c>
      <c r="E56">
        <f>1.6*10^(-19)</f>
        <v>1.6000000000000002E-19</v>
      </c>
      <c r="G56">
        <v>1.5</v>
      </c>
      <c r="H56">
        <v>28</v>
      </c>
      <c r="I56">
        <v>3</v>
      </c>
      <c r="J56">
        <f t="shared" si="2"/>
        <v>41407.867494824015</v>
      </c>
      <c r="K56">
        <f t="shared" si="3"/>
        <v>5915.4096421177164</v>
      </c>
      <c r="L56">
        <f t="shared" si="4"/>
        <v>1.5875571213887884E+16</v>
      </c>
      <c r="M56">
        <f t="shared" si="5"/>
        <v>2337737749352675.5</v>
      </c>
      <c r="N56">
        <f t="shared" si="6"/>
        <v>74915.019816684842</v>
      </c>
      <c r="O56">
        <f t="shared" si="7"/>
        <v>7800.462084865565</v>
      </c>
      <c r="P56">
        <f t="shared" si="8"/>
        <v>9.4905049699675387E-4</v>
      </c>
      <c r="Q56">
        <f t="shared" si="9"/>
        <v>9.8819067745840964E-5</v>
      </c>
      <c r="R56">
        <f t="shared" si="10"/>
        <v>56.844170393034723</v>
      </c>
      <c r="S56">
        <f t="shared" si="11"/>
        <v>6.5724864825495851E-7</v>
      </c>
    </row>
    <row r="57" spans="1:19" x14ac:dyDescent="0.3">
      <c r="D57" t="s">
        <v>36</v>
      </c>
      <c r="E57">
        <f>2.06*10^(16)</f>
        <v>2.06E+16</v>
      </c>
      <c r="L57">
        <f>L54/10^6</f>
        <v>58448786890.139435</v>
      </c>
      <c r="N57">
        <f>5.6*10^4*SQRT(L57)</f>
        <v>13538662994.826235</v>
      </c>
      <c r="O57">
        <f>N57*M54/(SQRT(2)*L54)</f>
        <v>970813315.66700006</v>
      </c>
    </row>
    <row r="58" spans="1:19" x14ac:dyDescent="0.3">
      <c r="D58" t="s">
        <v>12</v>
      </c>
      <c r="E58">
        <f>1.38*10^(-23)</f>
        <v>1.3800000000000001E-23</v>
      </c>
      <c r="H58" t="s">
        <v>41</v>
      </c>
      <c r="L58">
        <f t="shared" ref="L58:L59" si="12">L55/10^6</f>
        <v>32530863279.711933</v>
      </c>
      <c r="N58">
        <f t="shared" ref="N58:N59" si="13">5.6*10^4*SQRT(L58)</f>
        <v>10100335996.647667</v>
      </c>
      <c r="O58">
        <f t="shared" ref="O58:O59" si="14">N58*M55/(SQRT(2)*L55)</f>
        <v>803373788.16976619</v>
      </c>
    </row>
    <row r="59" spans="1:19" x14ac:dyDescent="0.3">
      <c r="D59" t="s">
        <v>37</v>
      </c>
      <c r="E59">
        <f>E53*SQRT(E55/(2*E58*E54))/(E56*0.4*E57)</f>
        <v>4.9262688292572973E-6</v>
      </c>
      <c r="F59">
        <f>E59/PI()</f>
        <v>1.5680800703516461E-6</v>
      </c>
      <c r="H59">
        <v>0.14299999999999999</v>
      </c>
      <c r="I59">
        <v>1.2999999999999999E-2</v>
      </c>
      <c r="L59">
        <f t="shared" si="12"/>
        <v>15875571213.887884</v>
      </c>
      <c r="N59">
        <f t="shared" si="13"/>
        <v>7055904713.5539188</v>
      </c>
      <c r="O59">
        <f t="shared" si="14"/>
        <v>734690017.13116252</v>
      </c>
    </row>
    <row r="60" spans="1:19" x14ac:dyDescent="0.3">
      <c r="D60" t="s">
        <v>42</v>
      </c>
      <c r="E60">
        <f>9.1*10^(-31)</f>
        <v>9.1000000000000001E-31</v>
      </c>
      <c r="H60">
        <v>0.13700000000000001</v>
      </c>
      <c r="I60">
        <v>1.4E-2</v>
      </c>
    </row>
    <row r="61" spans="1:19" x14ac:dyDescent="0.3">
      <c r="H61">
        <v>0.14000000000000001</v>
      </c>
      <c r="I61">
        <v>0.02</v>
      </c>
      <c r="N61">
        <f>8*10^(16)</f>
        <v>8E+16</v>
      </c>
      <c r="O61">
        <f>15.82*10^9</f>
        <v>15820000000</v>
      </c>
    </row>
    <row r="62" spans="1:19" x14ac:dyDescent="0.3">
      <c r="D62" t="s">
        <v>46</v>
      </c>
      <c r="N62">
        <f>4*PI()*N61*E56*E56/(O61^2)</f>
        <v>1.028316626931599E-40</v>
      </c>
    </row>
    <row r="63" spans="1:19" x14ac:dyDescent="0.3">
      <c r="D63" t="s">
        <v>12</v>
      </c>
      <c r="E63">
        <f>E58*10^7</f>
        <v>1.38E-16</v>
      </c>
    </row>
    <row r="64" spans="1:19" x14ac:dyDescent="0.3">
      <c r="D64" t="s">
        <v>42</v>
      </c>
      <c r="E64">
        <f>E60*1000</f>
        <v>9.1000000000000004E-28</v>
      </c>
    </row>
    <row r="65" spans="4:15" x14ac:dyDescent="0.3">
      <c r="D65" t="s">
        <v>35</v>
      </c>
      <c r="E65">
        <f>4.8*10^(-10)</f>
        <v>4.8E-10</v>
      </c>
      <c r="G65" t="s">
        <v>39</v>
      </c>
      <c r="H65" t="s">
        <v>31</v>
      </c>
      <c r="I65" t="s">
        <v>57</v>
      </c>
      <c r="J65" t="s">
        <v>59</v>
      </c>
      <c r="K65" t="s">
        <v>60</v>
      </c>
      <c r="L65" t="s">
        <v>45</v>
      </c>
      <c r="N65" t="s">
        <v>65</v>
      </c>
      <c r="O65">
        <v>100</v>
      </c>
    </row>
    <row r="66" spans="4:15" x14ac:dyDescent="0.3">
      <c r="E66">
        <f>SQRT(4*PI()*E65*E65/E64)</f>
        <v>56406.022100251095</v>
      </c>
      <c r="G66">
        <v>5</v>
      </c>
      <c r="H66" t="s">
        <v>48</v>
      </c>
      <c r="I66" t="s">
        <v>52</v>
      </c>
      <c r="J66" t="s">
        <v>58</v>
      </c>
      <c r="K66" t="s">
        <v>61</v>
      </c>
      <c r="L66">
        <v>30</v>
      </c>
      <c r="N66" t="s">
        <v>66</v>
      </c>
      <c r="O66">
        <v>300</v>
      </c>
    </row>
    <row r="67" spans="4:15" x14ac:dyDescent="0.3">
      <c r="G67">
        <v>3</v>
      </c>
      <c r="H67" t="s">
        <v>49</v>
      </c>
      <c r="I67" t="s">
        <v>53</v>
      </c>
      <c r="J67" t="s">
        <v>55</v>
      </c>
      <c r="K67" t="s">
        <v>62</v>
      </c>
      <c r="L67">
        <v>40</v>
      </c>
      <c r="N67" t="s">
        <v>51</v>
      </c>
      <c r="O67">
        <f>O65/(O66*E58)</f>
        <v>2.4154589371980673E+22</v>
      </c>
    </row>
    <row r="68" spans="4:15" x14ac:dyDescent="0.3">
      <c r="G68">
        <v>1.5</v>
      </c>
      <c r="H68" t="s">
        <v>50</v>
      </c>
      <c r="I68" t="s">
        <v>54</v>
      </c>
      <c r="J68" t="s">
        <v>56</v>
      </c>
      <c r="K68" t="s">
        <v>63</v>
      </c>
      <c r="L68">
        <v>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2019-11-20T16:39:41Z</dcterms:modified>
</cp:coreProperties>
</file>