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3"/>
    <sheet state="visible" name="Card Specifications" sheetId="2" r:id="rId4"/>
    <sheet state="visible" name="Card Specifications (Detailed)" sheetId="3" r:id="rId5"/>
    <sheet state="visible" name="Card Balance History" sheetId="4" r:id="rId6"/>
    <sheet state="visible" name="Card Comparisons" sheetId="5" r:id="rId7"/>
    <sheet state="visible" name="Chest Information and Cycle" sheetId="6" r:id="rId8"/>
    <sheet state="visible" name="Trainer Information" sheetId="7" r:id="rId9"/>
    <sheet state="visible" name="Classic and Event Decks" sheetId="8" r:id="rId10"/>
    <sheet state="visible" name="Trophy Road" sheetId="9" r:id="rId11"/>
    <sheet state="visible" name="Miscellaneous" sheetId="10" r:id="rId12"/>
    <sheet state="visible" name="Level Scaling Calculator" sheetId="11" r:id="rId13"/>
    <sheet state="visible" name="Card Balance Calculator" sheetId="12" r:id="rId14"/>
    <sheet state="visible" name="Progress Calculator" sheetId="13" r:id="rId15"/>
  </sheets>
  <definedNames/>
  <calcPr/>
</workbook>
</file>

<file path=xl/sharedStrings.xml><?xml version="1.0" encoding="utf-8"?>
<sst xmlns="http://schemas.openxmlformats.org/spreadsheetml/2006/main" count="16357" uniqueCount="2185">
  <si>
    <t>Sheets Royale</t>
  </si>
  <si>
    <t>Clash Royale data and game information</t>
  </si>
  <si>
    <t>Welcome to Sheets Royale! This spreadsheet contains a host of information and calculators for Clash Royale, including hidden card specifications, balance history, chest information and level scaling calculators. You can switch between sheets using the navigation bar below (use the arrowheads on the right if needed), or search within a sheet using Ctrl + F.</t>
  </si>
  <si>
    <t>Index</t>
  </si>
  <si>
    <t>Card Specifications – All data shown on the popup that appears when you tap on the card. It does not include hidden parameters.</t>
  </si>
  <si>
    <t>Card Specifications (Detailed) – Contains all parameters of all cards, including hidden ones such as area damage radius, load time and mass.</t>
  </si>
  <si>
    <t>Card Balance History – The entire balance history of the game summarised in a single table.</t>
  </si>
  <si>
    <t>Card Comparisons – Lists of cards based on hitpoints or damage, and useful for comparing stats without having to keep scrolling.</t>
  </si>
  <si>
    <t>Chest Information and Cycle – Contains data on cards in chests and the chest cycle, including the chance of obtaining a rare, epic or legendary card in a given chest.</t>
  </si>
  <si>
    <t>Trainer Information – Contains information on trainers, their trophy ranges, decks and other information.</t>
  </si>
  <si>
    <t>Classic and Event Decks – List of the Classic Decks featured in Classic Decks mode, as well as lists of decks featured in past event challenges.</t>
  </si>
  <si>
    <t>Trophy Road – List of rewards obtained at specific trophy milestones.</t>
  </si>
  <si>
    <t>Miscellaneous – Other game data that does not fit into any of the above sheets.</t>
  </si>
  <si>
    <t>Level Scaling Calculator – Built for card creators, it automatically generates the values for a card's hitpoints and damage at subsequent levels given those at level 1 and the card's rarity.</t>
  </si>
  <si>
    <t>Card Balance Calculator – This tool allows players to simulate the interaction changes after a round of balance changes.</t>
  </si>
  <si>
    <t>Progress Calculator – This tool calculates your rate of income gain in the game based on your activity.</t>
  </si>
  <si>
    <t>If you have any queries or comments, please message me on Reddit:</t>
  </si>
  <si>
    <t>Spreadsheet created on: 24 Mar 2016, 0900 UTC</t>
  </si>
  <si>
    <t>Last updated to reflect the maintenance on 10 Jun 2021. The 'ranged damage' parameters and the associated removal of the 'damage per second' parameters of some cards have not yet been reflected as they are suspected to have resulted from a bug.</t>
  </si>
  <si>
    <t>Card</t>
  </si>
  <si>
    <t>Rarity</t>
  </si>
  <si>
    <t>Type</t>
  </si>
  <si>
    <t>Elixir Cost</t>
  </si>
  <si>
    <t>Level</t>
  </si>
  <si>
    <t>Damage</t>
  </si>
  <si>
    <t>Area Damage</t>
  </si>
  <si>
    <t>Spawn Damage</t>
  </si>
  <si>
    <t>Charge Damage</t>
  </si>
  <si>
    <t>Dash Damage</t>
  </si>
  <si>
    <t>Jump Damage</t>
  </si>
  <si>
    <t>Death Damage</t>
  </si>
  <si>
    <t>Crown Tower Damage</t>
  </si>
  <si>
    <t>Crown Tower Spawn Damage</t>
  </si>
  <si>
    <t>Crown Tower Death Damage</t>
  </si>
  <si>
    <t>Reflected Damage</t>
  </si>
  <si>
    <t>Damage per second</t>
  </si>
  <si>
    <t>Building Damage/sec</t>
  </si>
  <si>
    <t>Crown Tower Damage/sec</t>
  </si>
  <si>
    <t>Hitpoints</t>
  </si>
  <si>
    <t>Shield Hitpoints</t>
  </si>
  <si>
    <t>Healing/sec</t>
  </si>
  <si>
    <t>Spawned Troop</t>
  </si>
  <si>
    <t>Spawned Troop Level</t>
  </si>
  <si>
    <t>Dash Range</t>
  </si>
  <si>
    <t>Jump Range</t>
  </si>
  <si>
    <t>Ranged Attack Range</t>
  </si>
  <si>
    <t>Chained Attacks</t>
  </si>
  <si>
    <t>Spawn Speed</t>
  </si>
  <si>
    <t>Production Speed</t>
  </si>
  <si>
    <t>Hit Speed</t>
  </si>
  <si>
    <t>Targets</t>
  </si>
  <si>
    <t>Speed</t>
  </si>
  <si>
    <t>Width</t>
  </si>
  <si>
    <t>Range</t>
  </si>
  <si>
    <t>Projectile Range</t>
  </si>
  <si>
    <t>Deploy Time</t>
  </si>
  <si>
    <t>Lifetime</t>
  </si>
  <si>
    <t>Count</t>
  </si>
  <si>
    <t>Spawned Troop Count</t>
  </si>
  <si>
    <t>Spawned Troop 2</t>
  </si>
  <si>
    <t>Spawned Troop 2 Level</t>
  </si>
  <si>
    <t>Spawned Troop 2 Count</t>
  </si>
  <si>
    <t>Duration</t>
  </si>
  <si>
    <t>Stun Duration</t>
  </si>
  <si>
    <t>Freeze Duration</t>
  </si>
  <si>
    <t>Slowdown Duration</t>
  </si>
  <si>
    <t>Snare Duration</t>
  </si>
  <si>
    <t>Effect Duration</t>
  </si>
  <si>
    <t>Boost</t>
  </si>
  <si>
    <t>Slowdown troops</t>
  </si>
  <si>
    <t>Mirrored common level</t>
  </si>
  <si>
    <t>Mirrored rare level</t>
  </si>
  <si>
    <t>Mirrored epic level</t>
  </si>
  <si>
    <t>Mirrored legendary level</t>
  </si>
  <si>
    <t>Cloned common level</t>
  </si>
  <si>
    <t>Cloned rare level</t>
  </si>
  <si>
    <t>Cloned epic level</t>
  </si>
  <si>
    <t>Cloned legendary level</t>
  </si>
  <si>
    <t>Clone Hitpoints</t>
  </si>
  <si>
    <t>Clone Shield Hitpoints</t>
  </si>
  <si>
    <t>Radius</t>
  </si>
  <si>
    <t>Training Camp</t>
  </si>
  <si>
    <t>Arrows</t>
  </si>
  <si>
    <t>Common</t>
  </si>
  <si>
    <t>Spell</t>
  </si>
  <si>
    <t>-</t>
  </si>
  <si>
    <t>Minions</t>
  </si>
  <si>
    <t>Troop</t>
  </si>
  <si>
    <t>1sec</t>
  </si>
  <si>
    <t>Air &amp; Ground</t>
  </si>
  <si>
    <t>Fast</t>
  </si>
  <si>
    <t>Melee: Long</t>
  </si>
  <si>
    <t>x 3</t>
  </si>
  <si>
    <t>Archers</t>
  </si>
  <si>
    <t>1.2sec</t>
  </si>
  <si>
    <t>Medium</t>
  </si>
  <si>
    <t>x 2</t>
  </si>
  <si>
    <t>Knight</t>
  </si>
  <si>
    <t>Ground</t>
  </si>
  <si>
    <t>Melee: Medium</t>
  </si>
  <si>
    <t>Fireball</t>
  </si>
  <si>
    <t>Rare</t>
  </si>
  <si>
    <t>Mini P.E.K.K.A</t>
  </si>
  <si>
    <t>1.7sec</t>
  </si>
  <si>
    <t>Melee: Short</t>
  </si>
  <si>
    <t>Musketeer</t>
  </si>
  <si>
    <t>1.1sec</t>
  </si>
  <si>
    <t>Giant</t>
  </si>
  <si>
    <t>1.5sec</t>
  </si>
  <si>
    <t>Buildings</t>
  </si>
  <si>
    <t>Slow</t>
  </si>
  <si>
    <t>Arena 1</t>
  </si>
  <si>
    <t>Goblin Stadium</t>
  </si>
  <si>
    <t>Spear Goblins</t>
  </si>
  <si>
    <t>Very Fast</t>
  </si>
  <si>
    <t>Goblins</t>
  </si>
  <si>
    <t>Goblin Cage</t>
  </si>
  <si>
    <t>Building</t>
  </si>
  <si>
    <t>Goblin Brawler</t>
  </si>
  <si>
    <t>20sec</t>
  </si>
  <si>
    <t>x 1</t>
  </si>
  <si>
    <t>Arena 2</t>
  </si>
  <si>
    <t>Bone Pit</t>
  </si>
  <si>
    <t>Bomber</t>
  </si>
  <si>
    <t>1.8sec</t>
  </si>
  <si>
    <t>Skeletons</t>
  </si>
  <si>
    <t>Tombstone</t>
  </si>
  <si>
    <t>3.1sec</t>
  </si>
  <si>
    <t>40sec</t>
  </si>
  <si>
    <t>Valkyrie</t>
  </si>
  <si>
    <t>Baby Dragon</t>
  </si>
  <si>
    <t>Epic</t>
  </si>
  <si>
    <t>Skeleton Army</t>
  </si>
  <si>
    <t>x 15</t>
  </si>
  <si>
    <t>Arena 3</t>
  </si>
  <si>
    <t>Barbarian Bowl</t>
  </si>
  <si>
    <t>Cannon</t>
  </si>
  <si>
    <t>0.9sec</t>
  </si>
  <si>
    <t>30sec</t>
  </si>
  <si>
    <t>Barbarians</t>
  </si>
  <si>
    <t>1.4sec</t>
  </si>
  <si>
    <t>x 5</t>
  </si>
  <si>
    <t>Mega Minion</t>
  </si>
  <si>
    <t>1.6sec</t>
  </si>
  <si>
    <t>Battle Ram</t>
  </si>
  <si>
    <t>Barbarian Barrel</t>
  </si>
  <si>
    <t>Barbarian</t>
  </si>
  <si>
    <t>Goblin Barrel</t>
  </si>
  <si>
    <t>Arena 4</t>
  </si>
  <si>
    <t>P.E.K.K.A's Playhouse</t>
  </si>
  <si>
    <t>Skeleton Dragons</t>
  </si>
  <si>
    <t>1.9sec</t>
  </si>
  <si>
    <t>Fire Spirit</t>
  </si>
  <si>
    <t>Inferno Tower</t>
  </si>
  <si>
    <t>20-400</t>
  </si>
  <si>
    <t>50-1000</t>
  </si>
  <si>
    <t>0.4sec</t>
  </si>
  <si>
    <t>22-440</t>
  </si>
  <si>
    <t>55-1100</t>
  </si>
  <si>
    <t>24-484</t>
  </si>
  <si>
    <t>60-1210</t>
  </si>
  <si>
    <t>26-532</t>
  </si>
  <si>
    <t>65-1330</t>
  </si>
  <si>
    <t>29-584</t>
  </si>
  <si>
    <t>72-1460</t>
  </si>
  <si>
    <t>32-640</t>
  </si>
  <si>
    <t>80-1600</t>
  </si>
  <si>
    <t>35-704</t>
  </si>
  <si>
    <t>87-1760</t>
  </si>
  <si>
    <t>38-772</t>
  </si>
  <si>
    <t>95-1930</t>
  </si>
  <si>
    <t>42-848</t>
  </si>
  <si>
    <t>105-2120</t>
  </si>
  <si>
    <t>46-932</t>
  </si>
  <si>
    <t>115-2330</t>
  </si>
  <si>
    <t>51-1024</t>
  </si>
  <si>
    <t>127-2560</t>
  </si>
  <si>
    <t>Wizard</t>
  </si>
  <si>
    <t>Giant Skeleton</t>
  </si>
  <si>
    <t>P.E.K.K.A</t>
  </si>
  <si>
    <t>Miner</t>
  </si>
  <si>
    <t>Legendary</t>
  </si>
  <si>
    <t>Arena 5</t>
  </si>
  <si>
    <t>Spell Valley</t>
  </si>
  <si>
    <t>Zap</t>
  </si>
  <si>
    <t>0.5sec</t>
  </si>
  <si>
    <t>Bats</t>
  </si>
  <si>
    <t>1.3sec</t>
  </si>
  <si>
    <t>Hog Rider</t>
  </si>
  <si>
    <t>Wall Breakers</t>
  </si>
  <si>
    <t>Witch</t>
  </si>
  <si>
    <t>7sec</t>
  </si>
  <si>
    <t>Princess</t>
  </si>
  <si>
    <t>3sec</t>
  </si>
  <si>
    <t>Arena 6</t>
  </si>
  <si>
    <t>Builder's Workshop</t>
  </si>
  <si>
    <t>Mortar</t>
  </si>
  <si>
    <t>5sec</t>
  </si>
  <si>
    <t>3.5sec</t>
  </si>
  <si>
    <t>Rocket</t>
  </si>
  <si>
    <t>Flying Machine</t>
  </si>
  <si>
    <t>X-Bow</t>
  </si>
  <si>
    <t>0.3sec</t>
  </si>
  <si>
    <t>Balloon</t>
  </si>
  <si>
    <t>The Log</t>
  </si>
  <si>
    <t>Arena 7</t>
  </si>
  <si>
    <t>Royal Arena</t>
  </si>
  <si>
    <t>Royal Recruits</t>
  </si>
  <si>
    <t>x 6</t>
  </si>
  <si>
    <t>Royal Giant</t>
  </si>
  <si>
    <t>Royal Hogs</t>
  </si>
  <si>
    <t>x 4</t>
  </si>
  <si>
    <t>Three Musketeers</t>
  </si>
  <si>
    <t>Dark Prince</t>
  </si>
  <si>
    <t>Prince</t>
  </si>
  <si>
    <t>Mega Knight</t>
  </si>
  <si>
    <t>3.5-5</t>
  </si>
  <si>
    <t>Arena 8</t>
  </si>
  <si>
    <t>Frozen Peak</t>
  </si>
  <si>
    <t>Giant Snowball</t>
  </si>
  <si>
    <t>2.5sec</t>
  </si>
  <si>
    <t>Ice Spirit</t>
  </si>
  <si>
    <t>Ice Golem</t>
  </si>
  <si>
    <t>Lightning</t>
  </si>
  <si>
    <t>Freeze</t>
  </si>
  <si>
    <t>4sec</t>
  </si>
  <si>
    <t>Ice Wizard</t>
  </si>
  <si>
    <t>Arena 9</t>
  </si>
  <si>
    <t>Jungle Arena</t>
  </si>
  <si>
    <t>Goblin Gang</t>
  </si>
  <si>
    <t>Goblin Hut</t>
  </si>
  <si>
    <t>4.5sec</t>
  </si>
  <si>
    <t>Dart Goblin</t>
  </si>
  <si>
    <t>0.7sec</t>
  </si>
  <si>
    <t>Poison</t>
  </si>
  <si>
    <t>8sec</t>
  </si>
  <si>
    <t>Goblin Giant</t>
  </si>
  <si>
    <t>Bag Spear Goblins</t>
  </si>
  <si>
    <t>Inferno Dragon</t>
  </si>
  <si>
    <t>30-350</t>
  </si>
  <si>
    <t>75-875</t>
  </si>
  <si>
    <t>33-385</t>
  </si>
  <si>
    <t>82-962</t>
  </si>
  <si>
    <t>36-423</t>
  </si>
  <si>
    <t>90-1057</t>
  </si>
  <si>
    <t>39-465</t>
  </si>
  <si>
    <t>97-1162</t>
  </si>
  <si>
    <t>43-511</t>
  </si>
  <si>
    <t>107-1277</t>
  </si>
  <si>
    <t>Arena 10</t>
  </si>
  <si>
    <t>Hog Mountain</t>
  </si>
  <si>
    <t>Elite Barbarians</t>
  </si>
  <si>
    <t>Minion Horde</t>
  </si>
  <si>
    <t>Furnace</t>
  </si>
  <si>
    <t>Fire Spirits</t>
  </si>
  <si>
    <t>49sec</t>
  </si>
  <si>
    <t>Hunter</t>
  </si>
  <si>
    <t>53 x10</t>
  </si>
  <si>
    <t>24 x10</t>
  </si>
  <si>
    <t>2.2sec</t>
  </si>
  <si>
    <t>58 x10</t>
  </si>
  <si>
    <t>26 x10</t>
  </si>
  <si>
    <t>64 x10</t>
  </si>
  <si>
    <t>29 x10</t>
  </si>
  <si>
    <t>70 x10</t>
  </si>
  <si>
    <t>31 x10</t>
  </si>
  <si>
    <t>77 x10</t>
  </si>
  <si>
    <t>35 x10</t>
  </si>
  <si>
    <t>84 x10</t>
  </si>
  <si>
    <t>38 x10</t>
  </si>
  <si>
    <t>93 x10</t>
  </si>
  <si>
    <t>42 x10</t>
  </si>
  <si>
    <t>102 x10</t>
  </si>
  <si>
    <t>46 x10</t>
  </si>
  <si>
    <t>Golem</t>
  </si>
  <si>
    <t>Golemites</t>
  </si>
  <si>
    <t>Ram Rider</t>
  </si>
  <si>
    <t>Rider</t>
  </si>
  <si>
    <t>Lava Hound</t>
  </si>
  <si>
    <t>Lava Pups</t>
  </si>
  <si>
    <t>Arena 11</t>
  </si>
  <si>
    <t>Electro Valley</t>
  </si>
  <si>
    <t>Tesla</t>
  </si>
  <si>
    <t>35sec</t>
  </si>
  <si>
    <t>Electro Spirit</t>
  </si>
  <si>
    <t>Zappies</t>
  </si>
  <si>
    <t>2.1sec</t>
  </si>
  <si>
    <t>Electro Giant</t>
  </si>
  <si>
    <t>Electro Dragon</t>
  </si>
  <si>
    <t>Electro Wizard</t>
  </si>
  <si>
    <t>91 x2</t>
  </si>
  <si>
    <t>50 x2</t>
  </si>
  <si>
    <t>100 x2</t>
  </si>
  <si>
    <t>55 x2</t>
  </si>
  <si>
    <t>110 x2</t>
  </si>
  <si>
    <t>61 x2</t>
  </si>
  <si>
    <t>121 x2</t>
  </si>
  <si>
    <t>67 x2</t>
  </si>
  <si>
    <t>132 x2</t>
  </si>
  <si>
    <t>73 x2</t>
  </si>
  <si>
    <t>Sparky</t>
  </si>
  <si>
    <t>Arena 12</t>
  </si>
  <si>
    <t>Spooky Town</t>
  </si>
  <si>
    <t>Skeleton Barrel</t>
  </si>
  <si>
    <t>x 7</t>
  </si>
  <si>
    <t>Earthquake</t>
  </si>
  <si>
    <t>Bomb Tower</t>
  </si>
  <si>
    <t>25sec</t>
  </si>
  <si>
    <t>Mirror</t>
  </si>
  <si>
    <t>?</t>
  </si>
  <si>
    <t>Guards</t>
  </si>
  <si>
    <t>Graveyard</t>
  </si>
  <si>
    <t>10sec</t>
  </si>
  <si>
    <t>Royal Ghost</t>
  </si>
  <si>
    <t>Arena 13</t>
  </si>
  <si>
    <t>Rascal's Hideout</t>
  </si>
  <si>
    <t>Rascals</t>
  </si>
  <si>
    <t>Rascal Boy</t>
  </si>
  <si>
    <t>Rascal Girl</t>
  </si>
  <si>
    <t>Heal Spirit</t>
  </si>
  <si>
    <t>Elixir Collector</t>
  </si>
  <si>
    <t>8.5sec</t>
  </si>
  <si>
    <t>1min 10sec</t>
  </si>
  <si>
    <t>Goblin Drill</t>
  </si>
  <si>
    <t>Goblin</t>
  </si>
  <si>
    <t>9sec</t>
  </si>
  <si>
    <t>Bowler</t>
  </si>
  <si>
    <t>Magic Archer</t>
  </si>
  <si>
    <t>Bandit</t>
  </si>
  <si>
    <t>3.5-6</t>
  </si>
  <si>
    <t>Arena 14</t>
  </si>
  <si>
    <t>Serenity Peak</t>
  </si>
  <si>
    <t>Firecracker</t>
  </si>
  <si>
    <t>25 x5</t>
  </si>
  <si>
    <t>8 x5</t>
  </si>
  <si>
    <t>27 x5</t>
  </si>
  <si>
    <t>9 x5</t>
  </si>
  <si>
    <t>30 x5</t>
  </si>
  <si>
    <t>10 x5</t>
  </si>
  <si>
    <t>33 x5</t>
  </si>
  <si>
    <t>11 x5</t>
  </si>
  <si>
    <t>36 x5</t>
  </si>
  <si>
    <t>12 x5</t>
  </si>
  <si>
    <t>40 x5</t>
  </si>
  <si>
    <t>13 x5</t>
  </si>
  <si>
    <t>44 x5</t>
  </si>
  <si>
    <t>14 x5</t>
  </si>
  <si>
    <t>48 x5</t>
  </si>
  <si>
    <t>16 x5</t>
  </si>
  <si>
    <t>53 x5</t>
  </si>
  <si>
    <t>17 x5</t>
  </si>
  <si>
    <t>58 x5</t>
  </si>
  <si>
    <t>19 x5</t>
  </si>
  <si>
    <t>64 x5</t>
  </si>
  <si>
    <t>21 x5</t>
  </si>
  <si>
    <t>70 x5</t>
  </si>
  <si>
    <t>23 x5</t>
  </si>
  <si>
    <t>77 x5</t>
  </si>
  <si>
    <t>Barbarian Hut</t>
  </si>
  <si>
    <t>13sec</t>
  </si>
  <si>
    <t>50sec</t>
  </si>
  <si>
    <t>Elixir Golem</t>
  </si>
  <si>
    <t>Elixir Golemites</t>
  </si>
  <si>
    <t>Elixir Blobs</t>
  </si>
  <si>
    <t>Rage</t>
  </si>
  <si>
    <t>6sec</t>
  </si>
  <si>
    <t>+35%</t>
  </si>
  <si>
    <t>6.5sec</t>
  </si>
  <si>
    <t>7.5sec</t>
  </si>
  <si>
    <t>9.5sec</t>
  </si>
  <si>
    <t>Executioner</t>
  </si>
  <si>
    <t>106 x2</t>
  </si>
  <si>
    <t>44 x2</t>
  </si>
  <si>
    <t>2.4sec</t>
  </si>
  <si>
    <t>116 x2</t>
  </si>
  <si>
    <t>48 x2</t>
  </si>
  <si>
    <t>128 x2</t>
  </si>
  <si>
    <t>53 x2</t>
  </si>
  <si>
    <t>140 x2</t>
  </si>
  <si>
    <t>58 x2</t>
  </si>
  <si>
    <t>154 x2</t>
  </si>
  <si>
    <t>64 x2</t>
  </si>
  <si>
    <t>169 x2</t>
  </si>
  <si>
    <t>70 x2</t>
  </si>
  <si>
    <t>186 x2</t>
  </si>
  <si>
    <t>77 x2</t>
  </si>
  <si>
    <t>204 x2</t>
  </si>
  <si>
    <t>85 x2</t>
  </si>
  <si>
    <t>Night Witch</t>
  </si>
  <si>
    <t>Lumberjack</t>
  </si>
  <si>
    <t>0.8sec</t>
  </si>
  <si>
    <t>Arena 15</t>
  </si>
  <si>
    <t>Legendary Arena</t>
  </si>
  <si>
    <t>Royal Delivery</t>
  </si>
  <si>
    <t>Royal Recruit</t>
  </si>
  <si>
    <t>Battle Healer</t>
  </si>
  <si>
    <t>Clone</t>
  </si>
  <si>
    <t>Tornado</t>
  </si>
  <si>
    <t>Cannon Cart</t>
  </si>
  <si>
    <t>Mother Witch</t>
  </si>
  <si>
    <t>Cursed Hog</t>
  </si>
  <si>
    <t>Fisherman</t>
  </si>
  <si>
    <t>3.5-7</t>
  </si>
  <si>
    <t>Other characters</t>
  </si>
  <si>
    <t>Slowdown</t>
  </si>
  <si>
    <t>King Tower</t>
  </si>
  <si>
    <t>Princess Towers</t>
  </si>
  <si>
    <t>Bag Spear Goblin</t>
  </si>
  <si>
    <t>Golemite</t>
  </si>
  <si>
    <t>2sec</t>
  </si>
  <si>
    <t>Elixir Golemite</t>
  </si>
  <si>
    <t>Elixir Blob</t>
  </si>
  <si>
    <t>Press Ctrl + F to search for the card specifications you wish to view. Last updated to reflect the update and balance changes on 30 Mar 2021.</t>
  </si>
  <si>
    <t>Card / Parameters</t>
  </si>
  <si>
    <t>Fixed Specifications</t>
  </si>
  <si>
    <t>Variable Specifications by Level</t>
  </si>
  <si>
    <t>3 Elixir</t>
  </si>
  <si>
    <t>Damage per Wave</t>
  </si>
  <si>
    <t>Crown Tower Damage per Wave</t>
  </si>
  <si>
    <t>Wave Count</t>
  </si>
  <si>
    <t>Wave Interval</t>
  </si>
  <si>
    <t>0.2 s</t>
  </si>
  <si>
    <t>Projectile Speed</t>
  </si>
  <si>
    <t>1100 tiles/min</t>
  </si>
  <si>
    <t>4 tiles</t>
  </si>
  <si>
    <t>Ground, Air</t>
  </si>
  <si>
    <t>Projectile Gravity</t>
  </si>
  <si>
    <t>50 tiles/min²</t>
  </si>
  <si>
    <t>Sight Range</t>
  </si>
  <si>
    <t>5.5 tiles</t>
  </si>
  <si>
    <t>1 s</t>
  </si>
  <si>
    <t>90 tiles/min</t>
  </si>
  <si>
    <t>Load Time</t>
  </si>
  <si>
    <t>0.5 s</t>
  </si>
  <si>
    <t>1000 tiles/min</t>
  </si>
  <si>
    <t>Homing Projectile</t>
  </si>
  <si>
    <t>Yes</t>
  </si>
  <si>
    <t>1.6 tiles</t>
  </si>
  <si>
    <t>Affected by Pushback</t>
  </si>
  <si>
    <t>Collision Radius</t>
  </si>
  <si>
    <t>0.5 tiles</t>
  </si>
  <si>
    <t>Mass</t>
  </si>
  <si>
    <t>Flying Height</t>
  </si>
  <si>
    <t>1.5 tiles</t>
  </si>
  <si>
    <t>Projectile Start Radius</t>
  </si>
  <si>
    <t>0.45 tiles</t>
  </si>
  <si>
    <t>Projectile Start Height</t>
  </si>
  <si>
    <t>Deploy Delay</t>
  </si>
  <si>
    <t>0.4 s</t>
  </si>
  <si>
    <t>Summon Deploy Delay</t>
  </si>
  <si>
    <t>0.1 s</t>
  </si>
  <si>
    <t>60 tiles/min</t>
  </si>
  <si>
    <t>1.2 s</t>
  </si>
  <si>
    <t>1.1 s</t>
  </si>
  <si>
    <t>600 tiles/min</t>
  </si>
  <si>
    <t>60 tiles/min²</t>
  </si>
  <si>
    <t>5 tiles</t>
  </si>
  <si>
    <t>0.7 s</t>
  </si>
  <si>
    <t>1.2 tiles</t>
  </si>
  <si>
    <t>4 Elixir</t>
  </si>
  <si>
    <t>Pushback</t>
  </si>
  <si>
    <t>1.8 tiles</t>
  </si>
  <si>
    <t>2.5 tiles</t>
  </si>
  <si>
    <t>1.7 s</t>
  </si>
  <si>
    <t>0.8 tiles</t>
  </si>
  <si>
    <t>6 tiles</t>
  </si>
  <si>
    <t>0.3 s</t>
  </si>
  <si>
    <t>Spawn Radius</t>
  </si>
  <si>
    <t>5 Elixir</t>
  </si>
  <si>
    <t>7.5 tiles</t>
  </si>
  <si>
    <t>45 tiles/min</t>
  </si>
  <si>
    <t>1.5 s</t>
  </si>
  <si>
    <t>No</t>
  </si>
  <si>
    <t>0.75 tiles</t>
  </si>
  <si>
    <t>Movement Pause Interval</t>
  </si>
  <si>
    <t>0.64 s</t>
  </si>
  <si>
    <t>Movement Pause Duration</t>
  </si>
  <si>
    <t>Sight Clip</t>
  </si>
  <si>
    <t>2 tiles</t>
  </si>
  <si>
    <t>Side Sight Clip</t>
  </si>
  <si>
    <t>2 Elixir</t>
  </si>
  <si>
    <t>7 tiles</t>
  </si>
  <si>
    <t>120 tiles/min</t>
  </si>
  <si>
    <t>Area Damage Radius</t>
  </si>
  <si>
    <t>Projectile Targets</t>
  </si>
  <si>
    <t>400 tiles/min²</t>
  </si>
  <si>
    <t>0.001 tiles</t>
  </si>
  <si>
    <t>0.4 tiles</t>
  </si>
  <si>
    <t>Kamikaze</t>
  </si>
  <si>
    <t>Summon Radius</t>
  </si>
  <si>
    <t>Charge Range</t>
  </si>
  <si>
    <t>0.35 tiles</t>
  </si>
  <si>
    <t>1.4 s</t>
  </si>
  <si>
    <t>0.9 s</t>
  </si>
  <si>
    <t>0.65 tiles</t>
  </si>
  <si>
    <t>Charge Speed</t>
  </si>
  <si>
    <t>500 tiles/min</t>
  </si>
  <si>
    <t>250 tiles/min²</t>
  </si>
  <si>
    <t>3 tiles</t>
  </si>
  <si>
    <t>3.5 tiles</t>
  </si>
  <si>
    <t>1.9 tiles</t>
  </si>
  <si>
    <t>150 tiles/min²</t>
  </si>
  <si>
    <t>0.6 tiles</t>
  </si>
  <si>
    <t>Character Level</t>
  </si>
  <si>
    <t>40 s</t>
  </si>
  <si>
    <t>1 tile</t>
  </si>
  <si>
    <t>Number per Spawn</t>
  </si>
  <si>
    <t>4.5 s</t>
  </si>
  <si>
    <t>Spawn Character</t>
  </si>
  <si>
    <t>Spear Goblin</t>
  </si>
  <si>
    <t>Death Spawn Count</t>
  </si>
  <si>
    <t>Death Spawn Character</t>
  </si>
  <si>
    <t>9.5 tiles</t>
  </si>
  <si>
    <t>1.6 s</t>
  </si>
  <si>
    <t>Jump Height</t>
  </si>
  <si>
    <t>Jump Speed</t>
  </si>
  <si>
    <t>160 tiles/min</t>
  </si>
  <si>
    <t>400 tiles/min</t>
  </si>
  <si>
    <t>40 tiles/min²</t>
  </si>
  <si>
    <t>Character Deploy Time</t>
  </si>
  <si>
    <t>Character Count</t>
  </si>
  <si>
    <t>2.2 s</t>
  </si>
  <si>
    <t>550 tiles/min</t>
  </si>
  <si>
    <t>Projectile Radius</t>
  </si>
  <si>
    <t>0.3 tiles</t>
  </si>
  <si>
    <t>6.5 tiles</t>
  </si>
  <si>
    <t>Projectile Height</t>
  </si>
  <si>
    <t>Projectile Shooter Shake Time</t>
  </si>
  <si>
    <t>Projectile Scatter Type</t>
  </si>
  <si>
    <t>Linear</t>
  </si>
  <si>
    <t>Projectile Random Delay</t>
  </si>
  <si>
    <t>Multiple Projectiles</t>
  </si>
  <si>
    <t>0.075 tiles</t>
  </si>
  <si>
    <t>1.8 s</t>
  </si>
  <si>
    <t>200 tiles/min²</t>
  </si>
  <si>
    <t>1 Elixir</t>
  </si>
  <si>
    <t xml:space="preserve"> 0.7 tiles</t>
  </si>
  <si>
    <t>3.1 s</t>
  </si>
  <si>
    <t>Skeleton</t>
  </si>
  <si>
    <t>6 Elixir</t>
  </si>
  <si>
    <t>Death Bomb Deploy Time</t>
  </si>
  <si>
    <t>3 s</t>
  </si>
  <si>
    <t>Death Damage Targets</t>
  </si>
  <si>
    <t>Death Damage Radius</t>
  </si>
  <si>
    <t>Death Bomb Pushback</t>
  </si>
  <si>
    <t>Death Bomb Collision Radius</t>
  </si>
  <si>
    <t>Initial Spawn Time</t>
  </si>
  <si>
    <t>7 s</t>
  </si>
  <si>
    <t>30 s</t>
  </si>
  <si>
    <t>0.7 tiles</t>
  </si>
  <si>
    <t>7 Elixir</t>
  </si>
  <si>
    <t>50 s</t>
  </si>
  <si>
    <t>Spawn Interval</t>
  </si>
  <si>
    <t>12.5 s</t>
  </si>
  <si>
    <t>0.05 s</t>
  </si>
  <si>
    <t>Death Spawn Radius</t>
  </si>
  <si>
    <t>Death Spawn Deploy Time</t>
  </si>
  <si>
    <t>Attack Shake Time</t>
  </si>
  <si>
    <t>Deploy Projectile Speed</t>
  </si>
  <si>
    <t>360 tiles/min</t>
  </si>
  <si>
    <t>Deploy Projectile Gravity</t>
  </si>
  <si>
    <t>30 tiles/min²</t>
  </si>
  <si>
    <t>Deploy Projectile Minimum Distance</t>
  </si>
  <si>
    <t>200 tiles/min</t>
  </si>
  <si>
    <t>0 tiles</t>
  </si>
  <si>
    <t>Projectile X-Radius</t>
  </si>
  <si>
    <t>1.3 tiles</t>
  </si>
  <si>
    <t>Projectile Y-Radius</t>
  </si>
  <si>
    <t>Distance</t>
  </si>
  <si>
    <t>Minimum Distance</t>
  </si>
  <si>
    <t>8 Elixir</t>
  </si>
  <si>
    <t>Golemite Hitpoints</t>
  </si>
  <si>
    <t>Golemite Damage</t>
  </si>
  <si>
    <t>Golemite Death Damage</t>
  </si>
  <si>
    <t>2.5 s</t>
  </si>
  <si>
    <t>Death Pushback</t>
  </si>
  <si>
    <t>Death Spawn Pushback</t>
  </si>
  <si>
    <t>Golemite Sight Range</t>
  </si>
  <si>
    <t>Golemite Deploy Time</t>
  </si>
  <si>
    <t>Golemite Speed</t>
  </si>
  <si>
    <t>Golemite Hit Speed</t>
  </si>
  <si>
    <t>Golemite Load Time</t>
  </si>
  <si>
    <t>Golemite Range</t>
  </si>
  <si>
    <t>0.25 tiles</t>
  </si>
  <si>
    <t>Golemite Targets</t>
  </si>
  <si>
    <t>Golemite Death Damage Radius</t>
  </si>
  <si>
    <t>Golemite Death Damage Targets</t>
  </si>
  <si>
    <t>Golemite Death Pushback</t>
  </si>
  <si>
    <t>0.9 tiles</t>
  </si>
  <si>
    <t>Golemite Affected by Pushback</t>
  </si>
  <si>
    <t>Golemite Collision Radius</t>
  </si>
  <si>
    <t>Golemite Mass</t>
  </si>
  <si>
    <t>Golemite Projectile Start Radius</t>
  </si>
  <si>
    <t>Golemite Projectile Start Height</t>
  </si>
  <si>
    <t>Golemite Sight Clip</t>
  </si>
  <si>
    <t>Golemite Side Sight Clip</t>
  </si>
  <si>
    <t>0.001 s</t>
  </si>
  <si>
    <t>Slowdown Effect</t>
  </si>
  <si>
    <t>Tier 1 Damage</t>
  </si>
  <si>
    <t>Tier 2 Damage</t>
  </si>
  <si>
    <t>Tier 3 Damage</t>
  </si>
  <si>
    <t>Tier 1 Damage Duration</t>
  </si>
  <si>
    <t>2 s</t>
  </si>
  <si>
    <t>Tier 2 Damage Duration</t>
  </si>
  <si>
    <t>Strike Interval</t>
  </si>
  <si>
    <t>0.46 s</t>
  </si>
  <si>
    <t>Target Priority</t>
  </si>
  <si>
    <t>Highest Hitpoints</t>
  </si>
  <si>
    <t>0.01 tiles</t>
  </si>
  <si>
    <t>1.3 s</t>
  </si>
  <si>
    <t>Burrow Speed</t>
  </si>
  <si>
    <t>650 tiles/min</t>
  </si>
  <si>
    <t>Lava Pup Hitpoints</t>
  </si>
  <si>
    <t>Lava Pup Damage</t>
  </si>
  <si>
    <t>Lava Pup</t>
  </si>
  <si>
    <t>Lava Pup Sight Range</t>
  </si>
  <si>
    <t>Lava Pup Deploy Time</t>
  </si>
  <si>
    <t>Lava Pup Speed</t>
  </si>
  <si>
    <t>Lava Pup Hit Speed</t>
  </si>
  <si>
    <t>Lava Pup Load Time</t>
  </si>
  <si>
    <t>Lava Pup Projectile Speed</t>
  </si>
  <si>
    <t>Lava Pup Homing Projectile</t>
  </si>
  <si>
    <t>Lava Pup Projectile Gravity</t>
  </si>
  <si>
    <t>Lava Pup Range</t>
  </si>
  <si>
    <t>Lava Pup Targets</t>
  </si>
  <si>
    <t>Lava Pup Affected by Pushback</t>
  </si>
  <si>
    <t>Lava Pup Collision Radius</t>
  </si>
  <si>
    <t>Lava Pup Mass</t>
  </si>
  <si>
    <t>Lava Pup Flying Height</t>
  </si>
  <si>
    <t>Lava Pup Projectile Start Radius</t>
  </si>
  <si>
    <t>Lava Pup Projectile Start Height</t>
  </si>
  <si>
    <t>0.1 tiles</t>
  </si>
  <si>
    <t>Spawn Angle Shift</t>
  </si>
  <si>
    <t>45°</t>
  </si>
  <si>
    <t>Attack Dash Duration</t>
  </si>
  <si>
    <t>0.15 s</t>
  </si>
  <si>
    <t>1.7 tiles</t>
  </si>
  <si>
    <t>9.4 s</t>
  </si>
  <si>
    <t>0.55 tiles</t>
  </si>
  <si>
    <t>Crown Tower Damage per second</t>
  </si>
  <si>
    <t>1.05 s</t>
  </si>
  <si>
    <t>Pulse interval</t>
  </si>
  <si>
    <t>Linger Duration</t>
  </si>
  <si>
    <t>Attraction Power</t>
  </si>
  <si>
    <t>8 s</t>
  </si>
  <si>
    <t>0.6 s</t>
  </si>
  <si>
    <t>Projectile Homing Time</t>
  </si>
  <si>
    <t>Projectile Homing Minimum Distance</t>
  </si>
  <si>
    <t>Projectile Starting Extra Radius</t>
  </si>
  <si>
    <t>11 tiles</t>
  </si>
  <si>
    <t>0.75 s</t>
  </si>
  <si>
    <t>3.5 s</t>
  </si>
  <si>
    <t>Bat</t>
  </si>
  <si>
    <t>90°</t>
  </si>
  <si>
    <t>11.5 tiles</t>
  </si>
  <si>
    <t>5 s</t>
  </si>
  <si>
    <t>4 s</t>
  </si>
  <si>
    <t>300 tiles/min</t>
  </si>
  <si>
    <t>Minimum Range</t>
  </si>
  <si>
    <t>Spawn Height</t>
  </si>
  <si>
    <t>7.7 tiles</t>
  </si>
  <si>
    <t>3.1 tiles</t>
  </si>
  <si>
    <t>Kamikaze Time</t>
  </si>
  <si>
    <t>Death Barrel Deploy Time</t>
  </si>
  <si>
    <t>Death Barrel Pushback</t>
  </si>
  <si>
    <t>Death Barrel Death Spawn Count</t>
  </si>
  <si>
    <t>Death Barrel Death Spawn Character</t>
  </si>
  <si>
    <t>Death Barrel Death Spawn Radius</t>
  </si>
  <si>
    <t>Death Barrel Death Spawn Minimum Radius</t>
  </si>
  <si>
    <t>Death Barrel Death Spawn Deploy Time</t>
  </si>
  <si>
    <t>Death Barrel Death Spawn Pushback</t>
  </si>
  <si>
    <t>350 tiles/min</t>
  </si>
  <si>
    <t>800 tiles/min</t>
  </si>
  <si>
    <t>120 tiles/min²</t>
  </si>
  <si>
    <t>Turret Rotation Speed</t>
  </si>
  <si>
    <t>224 rad/min</t>
  </si>
  <si>
    <t>1400 tiles/min</t>
  </si>
  <si>
    <t>2.4 tiles</t>
  </si>
  <si>
    <t>2.8 s</t>
  </si>
  <si>
    <t>Universal Pushback</t>
  </si>
  <si>
    <t>1.95 tiles</t>
  </si>
  <si>
    <t>10.1 tiles</t>
  </si>
  <si>
    <t>Visual Hit Speed</t>
  </si>
  <si>
    <t>0.8 s</t>
  </si>
  <si>
    <t>Summon Width</t>
  </si>
  <si>
    <t>14 tiles</t>
  </si>
  <si>
    <t>2.9 tiles</t>
  </si>
  <si>
    <t>0.95 s</t>
  </si>
  <si>
    <t>Deploy W Tile Margin</t>
  </si>
  <si>
    <t>9 Elixir</t>
  </si>
  <si>
    <t>1.1 tiles</t>
  </si>
  <si>
    <t>Spawn Projectile Speed</t>
  </si>
  <si>
    <t>Spawn Pushback</t>
  </si>
  <si>
    <t>Spawn Damage Radius</t>
  </si>
  <si>
    <t>2.2 tiles</t>
  </si>
  <si>
    <t>Spawn Damage Targets</t>
  </si>
  <si>
    <t>Spawn Projectile Gravity</t>
  </si>
  <si>
    <t>0 tiles/min²</t>
  </si>
  <si>
    <t>Jump Cooldown</t>
  </si>
  <si>
    <t>Jump Pushback</t>
  </si>
  <si>
    <t>Jump Radius</t>
  </si>
  <si>
    <t>Jump Time</t>
  </si>
  <si>
    <t>Jump Landing Time</t>
  </si>
  <si>
    <t>Jump Minimum Range</t>
  </si>
  <si>
    <t>Jump Maximum Range</t>
  </si>
  <si>
    <t>250 tiles/min</t>
  </si>
  <si>
    <t>Spawn Pushback Radius</t>
  </si>
  <si>
    <t>90 tiles/min²</t>
  </si>
  <si>
    <t>9 tiles</t>
  </si>
  <si>
    <t>70 s</t>
  </si>
  <si>
    <t>Amount per Production</t>
  </si>
  <si>
    <t>8.5 s</t>
  </si>
  <si>
    <t>Death Slowdown Duration</t>
  </si>
  <si>
    <t>Death Slowdown Radius</t>
  </si>
  <si>
    <t>Death Slowdown Effect</t>
  </si>
  <si>
    <t>Death Slowdown Linger Duration</t>
  </si>
  <si>
    <t>Death Slowdown Targets</t>
  </si>
  <si>
    <t>0.47 s</t>
  </si>
  <si>
    <t>0.08 s</t>
  </si>
  <si>
    <t>170 tiles/min</t>
  </si>
  <si>
    <t>Death Rage Duration</t>
  </si>
  <si>
    <t>7.5 s</t>
  </si>
  <si>
    <t>9 s</t>
  </si>
  <si>
    <t>9.5 s</t>
  </si>
  <si>
    <t>10 s</t>
  </si>
  <si>
    <t>Death Rage Deploy Time</t>
  </si>
  <si>
    <t>Death Rage Radius</t>
  </si>
  <si>
    <t>Death Rage Pulse Interval</t>
  </si>
  <si>
    <t>Death Rage Effect</t>
  </si>
  <si>
    <t>Death Rage Linger Duration</t>
  </si>
  <si>
    <t>Death Rage Targets</t>
  </si>
  <si>
    <t>Own Units</t>
  </si>
  <si>
    <t>700 tiles/min</t>
  </si>
  <si>
    <t>Slowdown Effect Linger Duration</t>
  </si>
  <si>
    <t>Rascal Boy Hitpoints</t>
  </si>
  <si>
    <t>Rascal Boy Damage</t>
  </si>
  <si>
    <t>Rascal Girl Hitpoints</t>
  </si>
  <si>
    <t>Rascal Girl Damage</t>
  </si>
  <si>
    <t>Summon Character</t>
  </si>
  <si>
    <t>Summon Character 2</t>
  </si>
  <si>
    <t>Summon Character Count</t>
  </si>
  <si>
    <t>Summon Character 2 Count</t>
  </si>
  <si>
    <t>Rascal Boy Sight Range</t>
  </si>
  <si>
    <t>Rascal Boy Deploy Time</t>
  </si>
  <si>
    <t>Rascal Boy Speed</t>
  </si>
  <si>
    <t>Rascal Boy Hit Speed</t>
  </si>
  <si>
    <t>Rascal Boy Load Time</t>
  </si>
  <si>
    <t>Rascal Boy Range</t>
  </si>
  <si>
    <t>Rascal Boy Targets</t>
  </si>
  <si>
    <t>Rascal Boy Affected by Pushback</t>
  </si>
  <si>
    <t>Rascal Boy Collision Radius</t>
  </si>
  <si>
    <t>Rascal Boy Mass</t>
  </si>
  <si>
    <t>Rascal Boy Projectile Start Radius</t>
  </si>
  <si>
    <t>Rascal Boy Projectile Start Height</t>
  </si>
  <si>
    <t>Rascal Girl Sight Range</t>
  </si>
  <si>
    <t>Rascal Girl Deploy Time</t>
  </si>
  <si>
    <t>Rascal Girl Speed</t>
  </si>
  <si>
    <t>Rascal Girl Hit Speed</t>
  </si>
  <si>
    <t>Rascal Girl Load Time</t>
  </si>
  <si>
    <t>Rascal Girl Projectile Speed</t>
  </si>
  <si>
    <t>Rascal Girl Homing Projectile</t>
  </si>
  <si>
    <t>Rascal Girl Projectile Gravity</t>
  </si>
  <si>
    <t>Rascal Girl Range</t>
  </si>
  <si>
    <t>Rascal Girl Targets</t>
  </si>
  <si>
    <t>Rascal Girl Affected by Pushback</t>
  </si>
  <si>
    <t>Rascal Girl Collision Radius</t>
  </si>
  <si>
    <t>Rascal Girl Mass</t>
  </si>
  <si>
    <t>Rascal Girl Projectile Start Radius</t>
  </si>
  <si>
    <t>Rascal Girl Projectile Start Height</t>
  </si>
  <si>
    <t>Summon Character 2 Summon Deploy Delay</t>
  </si>
  <si>
    <t>Character 2 Level</t>
  </si>
  <si>
    <t>Building Damage per second</t>
  </si>
  <si>
    <t>Pulse Interval</t>
  </si>
  <si>
    <t>Movement Slowdown Effect</t>
  </si>
  <si>
    <t>0.35 s</t>
  </si>
  <si>
    <t>Bag Spear Goblin Damage</t>
  </si>
  <si>
    <t xml:space="preserve"> 1 s</t>
  </si>
  <si>
    <t>Spawn Character Attached</t>
  </si>
  <si>
    <t>Bag Spear Goblin Sight Range</t>
  </si>
  <si>
    <t>Bag Spear Goblin Hit Speed</t>
  </si>
  <si>
    <t>Bag Spear Goblin Load Time</t>
  </si>
  <si>
    <t>Bag Spear Goblin Projectile Speed</t>
  </si>
  <si>
    <t>Bag Spear Goblin Homing Projectile</t>
  </si>
  <si>
    <t>Bag Spear Goblin Projectile Gravity</t>
  </si>
  <si>
    <t>Bag Spear Goblin Range</t>
  </si>
  <si>
    <t>Bag Spear Goblin Targets</t>
  </si>
  <si>
    <t>Bag Spear Goblin Mass</t>
  </si>
  <si>
    <t>Bag Spear Goblin Flying Height</t>
  </si>
  <si>
    <t>Bag Spear Goblin Death Spawn Character</t>
  </si>
  <si>
    <t>Bag Spear Goblin Spawn Angle Shift</t>
  </si>
  <si>
    <t>-22°</t>
  </si>
  <si>
    <t>Bag Spear Goblin Maximum Spawn Angle</t>
  </si>
  <si>
    <t>Bag Spear Goblin Death Spawn Deploy Time</t>
  </si>
  <si>
    <t>Bag Spear Goblin Projectile Start Height</t>
  </si>
  <si>
    <t>Bag Spear Goblin Deploy Delay</t>
  </si>
  <si>
    <t>Cursed Hog Hitpoints</t>
  </si>
  <si>
    <t>Cursed Hog Damage</t>
  </si>
  <si>
    <t>20 tiles/min²</t>
  </si>
  <si>
    <t>Curse Duration</t>
  </si>
  <si>
    <t>Curse Death Spawn Character</t>
  </si>
  <si>
    <t>Curse Death Spawn Count</t>
  </si>
  <si>
    <t>Curse Targets</t>
  </si>
  <si>
    <t>Troops</t>
  </si>
  <si>
    <t>Cursed Hog Sight Range</t>
  </si>
  <si>
    <t>Cursed Hog Deploy Time</t>
  </si>
  <si>
    <t>Cursed Hog Speed</t>
  </si>
  <si>
    <t>Cursed Hog Hit Speed</t>
  </si>
  <si>
    <t>Cursed Hog Load Time</t>
  </si>
  <si>
    <t>Cursed Hog Range</t>
  </si>
  <si>
    <t>Cursed Hog Targets</t>
  </si>
  <si>
    <t>Cursed Hog Collision Radius</t>
  </si>
  <si>
    <t>Cursed Hog Mass</t>
  </si>
  <si>
    <t>Cursed Hog Jump Height</t>
  </si>
  <si>
    <t>Cursed Hog Jump Speed</t>
  </si>
  <si>
    <t>Cursed Hog Projectile Start Radius</t>
  </si>
  <si>
    <t>Cursed Hog Projectile Start Height</t>
  </si>
  <si>
    <t>Cursed Hog Deploy Delay</t>
  </si>
  <si>
    <t>Cursed Hog Sight Clip</t>
  </si>
  <si>
    <t>Cursed Hog Side Sight Clip</t>
  </si>
  <si>
    <t>Affected by Curse</t>
  </si>
  <si>
    <t>Dash Cooldown</t>
  </si>
  <si>
    <t>Dash Minimum Range</t>
  </si>
  <si>
    <t>Dash Maximum Range</t>
  </si>
  <si>
    <t>Dash Speed</t>
  </si>
  <si>
    <t>8.5 tiles</t>
  </si>
  <si>
    <t>Explosion Projectile Speed</t>
  </si>
  <si>
    <t>Explosion Projectile Gravity</t>
  </si>
  <si>
    <t>Explosion Projectile Radius</t>
  </si>
  <si>
    <t>Explosion Projectile Starting Extra Radius</t>
  </si>
  <si>
    <t>Explosion Projectile Range</t>
  </si>
  <si>
    <t>Explosion Projectile Count</t>
  </si>
  <si>
    <t>Explosion Projectile Spawn Radius</t>
  </si>
  <si>
    <t>0.08 tiles</t>
  </si>
  <si>
    <t>Explosion Projectile Minimum Distance</t>
  </si>
  <si>
    <t>Explosion Projectile Height</t>
  </si>
  <si>
    <t>Explosion Projectile Shooter Shake Time</t>
  </si>
  <si>
    <t>Explosion Projectile Scatter Type</t>
  </si>
  <si>
    <t>Attack Recoil</t>
  </si>
  <si>
    <t>0.2 tiles</t>
  </si>
  <si>
    <t>Heal per second</t>
  </si>
  <si>
    <t>Healing Duration</t>
  </si>
  <si>
    <t>Healing Radius</t>
  </si>
  <si>
    <t>Healing Pulse Interval</t>
  </si>
  <si>
    <t>0.25 s</t>
  </si>
  <si>
    <t>Healing Targets</t>
  </si>
  <si>
    <t>Own Troops</t>
  </si>
  <si>
    <t>Healing Linger Duration</t>
  </si>
  <si>
    <t>25 s</t>
  </si>
  <si>
    <t>Attached Character</t>
  </si>
  <si>
    <t>Attached Character Height</t>
  </si>
  <si>
    <t>3.2 tiles</t>
  </si>
  <si>
    <t>4.5 tiles</t>
  </si>
  <si>
    <t>6 s</t>
  </si>
  <si>
    <t>6.5 s</t>
  </si>
  <si>
    <t>Cart Cannon Hitpoints</t>
  </si>
  <si>
    <t>Cart Cannon Damage</t>
  </si>
  <si>
    <t>Cart Cannon</t>
  </si>
  <si>
    <t>600 rad/min</t>
  </si>
  <si>
    <t>Cart Cannon Sight Range</t>
  </si>
  <si>
    <t>Cart Cannon Deploy Time</t>
  </si>
  <si>
    <t>Cart Cannon Hit Speed</t>
  </si>
  <si>
    <t>Cart Cannon Load Time</t>
  </si>
  <si>
    <t>Cart Cannon Projectile Speed</t>
  </si>
  <si>
    <t>Cart Cannon Homing Projectile</t>
  </si>
  <si>
    <t>Cart Cannon Range</t>
  </si>
  <si>
    <t>Cart Cannon Targets</t>
  </si>
  <si>
    <t>Cart Cannon Lifetime</t>
  </si>
  <si>
    <t>Cart Cannon Affected by Pushback</t>
  </si>
  <si>
    <t>Cart Cannon Collision Radius</t>
  </si>
  <si>
    <t>Cart Cannon Mass</t>
  </si>
  <si>
    <t>Cart Cannon Morph Time</t>
  </si>
  <si>
    <t>Cart Cannon Projectile Start Radius</t>
  </si>
  <si>
    <t>Cart Cannon Projectile Start Height</t>
  </si>
  <si>
    <t>Cart Cannon Deploy Delay</t>
  </si>
  <si>
    <t>Cart Cannon Turret Rotation Speed</t>
  </si>
  <si>
    <t>Special Attack Minimum Range</t>
  </si>
  <si>
    <t>Special Attack Range</t>
  </si>
  <si>
    <t>Special Attack Load Time</t>
  </si>
  <si>
    <t>Special Attack Projectile Speed</t>
  </si>
  <si>
    <t>Special Attack Homing Projectile</t>
  </si>
  <si>
    <t>Special Attack Projectile Homing Time</t>
  </si>
  <si>
    <t>Special Attack Minimum Homing Distance</t>
  </si>
  <si>
    <t>Special Attack Slowdown Effect</t>
  </si>
  <si>
    <t>Special Attack Slowdown Effect Linger Duration</t>
  </si>
  <si>
    <t>Special Attack Drag Speed</t>
  </si>
  <si>
    <t>850 tiles/min</t>
  </si>
  <si>
    <t>Special Attack Self Drag Speed</t>
  </si>
  <si>
    <t>450 tiles/min</t>
  </si>
  <si>
    <t>Special Attack Drag Margin</t>
  </si>
  <si>
    <t>Rider Damage</t>
  </si>
  <si>
    <t>Rider Sight Range</t>
  </si>
  <si>
    <t>Rider Hit Speed</t>
  </si>
  <si>
    <t>Rider Load Time</t>
  </si>
  <si>
    <t>Rider Projectile Speed</t>
  </si>
  <si>
    <t>Rider Homing Projectile</t>
  </si>
  <si>
    <t>Rider Snare Slowdown Effect</t>
  </si>
  <si>
    <t>Rider Snare Duration</t>
  </si>
  <si>
    <t>Rider Projectile Height</t>
  </si>
  <si>
    <t>Rider Projectile Pingpong Moving Shooter Duration</t>
  </si>
  <si>
    <t>Rider Range</t>
  </si>
  <si>
    <t>Rider Targets</t>
  </si>
  <si>
    <t>Rider Mass</t>
  </si>
  <si>
    <t>Rider Maximum Attached Rotation</t>
  </si>
  <si>
    <t>Rider Projectile Start Radius</t>
  </si>
  <si>
    <t>Rider Projectile Start Height</t>
  </si>
  <si>
    <t>Rider Buff Deprioritisation</t>
  </si>
  <si>
    <t>Snare</t>
  </si>
  <si>
    <t>35 s</t>
  </si>
  <si>
    <t>Hide Time</t>
  </si>
  <si>
    <t>Emerge Time</t>
  </si>
  <si>
    <t>2000 tiles/min</t>
  </si>
  <si>
    <t>Projectile Chain Radius</t>
  </si>
  <si>
    <t>Maximum Chained Hits</t>
  </si>
  <si>
    <t>Elixir Golemite Hitpoints</t>
  </si>
  <si>
    <t>Elixir Golemite Damage</t>
  </si>
  <si>
    <t>Elixir Blob Hitpoints</t>
  </si>
  <si>
    <t>Elixir Blob Damage</t>
  </si>
  <si>
    <t>Elixir Golemite Sight Range</t>
  </si>
  <si>
    <t>Elixir Golemite Deploy Time</t>
  </si>
  <si>
    <t>Elixir Golemite Speed</t>
  </si>
  <si>
    <t>Elixir Golemite Hit Speed</t>
  </si>
  <si>
    <t>Elixir Golemite Load Time</t>
  </si>
  <si>
    <t>Elixir Golemite Range</t>
  </si>
  <si>
    <t>Elixir Golemite Targets</t>
  </si>
  <si>
    <t>Elixir Golemite Affected by Pushback</t>
  </si>
  <si>
    <t>Elixir Golemite Collision Radius</t>
  </si>
  <si>
    <t>Elixir Golemite Mass</t>
  </si>
  <si>
    <t>Elixir Golemite Death Spawn Count</t>
  </si>
  <si>
    <t>Elixir Golemite Death Spawn Character</t>
  </si>
  <si>
    <t>Elixir Golemite Death Spawn Radius</t>
  </si>
  <si>
    <t>Elixir Golemite Projectile Start Radius</t>
  </si>
  <si>
    <t>Elixir Golemite Projectile Start Height</t>
  </si>
  <si>
    <t>Elixir Blob Sight Range</t>
  </si>
  <si>
    <t>Elixir Blob Deploy Time</t>
  </si>
  <si>
    <t>Elixir Blob Speed</t>
  </si>
  <si>
    <t>Elixir Blob Hit Speed</t>
  </si>
  <si>
    <t>Elixir Blob Load Time</t>
  </si>
  <si>
    <t>Elixir Blob Range</t>
  </si>
  <si>
    <t>Elixir Blob Targets</t>
  </si>
  <si>
    <t>Elixir Blob Collision Radius</t>
  </si>
  <si>
    <t>Elixir Blob Mass</t>
  </si>
  <si>
    <t>Elixir Blob Projectile Start Radius</t>
  </si>
  <si>
    <t>Elixir Blob Projectile Start Height</t>
  </si>
  <si>
    <t>Elixir Blob Death Elixir</t>
  </si>
  <si>
    <t>2.1 s</t>
  </si>
  <si>
    <t>Beam Visual Pushback</t>
  </si>
  <si>
    <t>Clone Duration</t>
  </si>
  <si>
    <t>Reflected Stun Duration</t>
  </si>
  <si>
    <t>Reflected Stun Slowdown Effect</t>
  </si>
  <si>
    <t>Reflected Attack Radius</t>
  </si>
  <si>
    <t>1.25 tiles</t>
  </si>
  <si>
    <t>Spawn Spell Level</t>
  </si>
  <si>
    <t>Multiple Targets</t>
  </si>
  <si>
    <t>Spawn Spell</t>
  </si>
  <si>
    <t>Load First Hit</t>
  </si>
  <si>
    <t>Deploy Area Effect Duration</t>
  </si>
  <si>
    <t>Enemy Troops</t>
  </si>
  <si>
    <t>5000 tiles/min</t>
  </si>
  <si>
    <t>Projectile Deploy Time</t>
  </si>
  <si>
    <t>Initial Cast Delay</t>
  </si>
  <si>
    <t>2.05 s</t>
  </si>
  <si>
    <t>1.9 s</t>
  </si>
  <si>
    <t>Goblin Brawler Hitpoints</t>
  </si>
  <si>
    <t>Goblin Brawler Damage</t>
  </si>
  <si>
    <t>20 s</t>
  </si>
  <si>
    <t>Goblin Brawler Sight Range</t>
  </si>
  <si>
    <t>Goblin Brawler Deploy Time</t>
  </si>
  <si>
    <t>Goblin Brawler Speed</t>
  </si>
  <si>
    <t>Goblin Brawler Hit Speed</t>
  </si>
  <si>
    <t>Goblin Brawler Load Time</t>
  </si>
  <si>
    <t>Goblin Brawler Range</t>
  </si>
  <si>
    <t>Goblin Brawler Targets</t>
  </si>
  <si>
    <t>Goblin Brawler Affected by Pushback</t>
  </si>
  <si>
    <t>Goblin Brawler Collision Radius</t>
  </si>
  <si>
    <t>Goblin Brawler Mass</t>
  </si>
  <si>
    <t>Goblin Brawler Projectile Start Radius</t>
  </si>
  <si>
    <t>Goblin Brawler Projectile Start Height</t>
  </si>
  <si>
    <t>Goblin Brawler Deploy Delay</t>
  </si>
  <si>
    <t>Goblin Brawler Attack Finish Time</t>
  </si>
  <si>
    <t>Goblin Brawler Attack State Count</t>
  </si>
  <si>
    <t>Self Healing Heal per second</t>
  </si>
  <si>
    <t>Active Healing Heal per second</t>
  </si>
  <si>
    <t>Hovering</t>
  </si>
  <si>
    <t>Self Healing Pulse Interval</t>
  </si>
  <si>
    <t>Self Healing Initiation Time</t>
  </si>
  <si>
    <t>Active Healing Initiation Duration</t>
  </si>
  <si>
    <t>Active Healing Radius</t>
  </si>
  <si>
    <t>Active Healing Pulse Interval</t>
  </si>
  <si>
    <t>Active Healing Duration</t>
  </si>
  <si>
    <t>Active Healing Targets</t>
  </si>
  <si>
    <t>You can't Mirror a Mirror.</t>
  </si>
  <si>
    <t>Projectile Minimum Distance</t>
  </si>
  <si>
    <t>Projectile Pingpong Visual Airborne Duration</t>
  </si>
  <si>
    <t>Initial Spawn Delay</t>
  </si>
  <si>
    <t>Spawn Minimum Radius</t>
  </si>
  <si>
    <t>Invisibility Delay</t>
  </si>
  <si>
    <t>1.4 tiles</t>
  </si>
  <si>
    <t>Tower Princess</t>
  </si>
  <si>
    <t>Last updated to show the maintenance on 10 Jun 2021.</t>
  </si>
  <si>
    <t>No. of changes since introduction</t>
  </si>
  <si>
    <t>Net change since release</t>
  </si>
  <si>
    <t>Card / Tower</t>
  </si>
  <si>
    <t>Release Date</t>
  </si>
  <si>
    <t>BC 1/11</t>
  </si>
  <si>
    <t>Update 2/2</t>
  </si>
  <si>
    <t>BC 2/9</t>
  </si>
  <si>
    <t>BC 2/19</t>
  </si>
  <si>
    <t>Update 2/29</t>
  </si>
  <si>
    <t>BC 3/23</t>
  </si>
  <si>
    <t>Update 5/3</t>
  </si>
  <si>
    <t>BC 5/18</t>
  </si>
  <si>
    <t>BC 6/21</t>
  </si>
  <si>
    <t>Update 7/4</t>
  </si>
  <si>
    <t>BC 8/24</t>
  </si>
  <si>
    <t>Update 9/19</t>
  </si>
  <si>
    <t>BC 10/20</t>
  </si>
  <si>
    <t>Update 11/1</t>
  </si>
  <si>
    <t>BC 11/30</t>
  </si>
  <si>
    <t>Update 12/15</t>
  </si>
  <si>
    <t>BC 1/23</t>
  </si>
  <si>
    <t>BC 2/13</t>
  </si>
  <si>
    <t>Update 3/13</t>
  </si>
  <si>
    <t>BC 4/19</t>
  </si>
  <si>
    <t>Update 6/12</t>
  </si>
  <si>
    <t>BC 8/11</t>
  </si>
  <si>
    <t>Update 10/9</t>
  </si>
  <si>
    <t>Update 12/12</t>
  </si>
  <si>
    <t>BC 1/24</t>
  </si>
  <si>
    <t>BC 2/12</t>
  </si>
  <si>
    <t>Update 4/25</t>
  </si>
  <si>
    <t>BC 6/4</t>
  </si>
  <si>
    <t>Update 6/20</t>
  </si>
  <si>
    <t>BC 7/2</t>
  </si>
  <si>
    <t>BC 8/6</t>
  </si>
  <si>
    <t>BC 9/3 / Update 9/5</t>
  </si>
  <si>
    <t>BC 10/1</t>
  </si>
  <si>
    <t>BC 11/5</t>
  </si>
  <si>
    <t>BC 12/3 / Update 12/5</t>
  </si>
  <si>
    <t>BC 1/7</t>
  </si>
  <si>
    <t>Update 1/28 / BC 2/4</t>
  </si>
  <si>
    <t>BC 3/4</t>
  </si>
  <si>
    <t>BC 4/1 / Update 4/15</t>
  </si>
  <si>
    <t>BC 5/6</t>
  </si>
  <si>
    <t>BC 6/3</t>
  </si>
  <si>
    <t>Update 7/1</t>
  </si>
  <si>
    <t>Update 8/1 / BC 8/5</t>
  </si>
  <si>
    <t>BC 9/2</t>
  </si>
  <si>
    <t>Update 9/30 / BC 10/7</t>
  </si>
  <si>
    <t>BC 11/4</t>
  </si>
  <si>
    <t>Update 11/27</t>
  </si>
  <si>
    <t>BC 12/2</t>
  </si>
  <si>
    <t>BC 2/4</t>
  </si>
  <si>
    <t>BC 3/3</t>
  </si>
  <si>
    <t>BC 4/7</t>
  </si>
  <si>
    <t>BC 5/5</t>
  </si>
  <si>
    <t>BC 6/2</t>
  </si>
  <si>
    <t>BC 7/7</t>
  </si>
  <si>
    <t>BC 8/4</t>
  </si>
  <si>
    <t>Update 8/31 / BC 9/9</t>
  </si>
  <si>
    <t>BC 10/6</t>
  </si>
  <si>
    <t>BC 11/3 / Update 11/18</t>
  </si>
  <si>
    <t>BC 12/9</t>
  </si>
  <si>
    <t>Update 3/30</t>
  </si>
  <si>
    <t>Update 6/7</t>
  </si>
  <si>
    <t>4 Jan 2016</t>
  </si>
  <si>
    <t>Damage -4%</t>
  </si>
  <si>
    <t>Crown tower damage -20%</t>
  </si>
  <si>
    <t>Projectile speed +33%</t>
  </si>
  <si>
    <t>Crown tower damage -13%</t>
  </si>
  <si>
    <t>Minor fix</t>
  </si>
  <si>
    <t>Projectile speed +38%</t>
  </si>
  <si>
    <t>Damage +25%, wave count +2</t>
  </si>
  <si>
    <t>Crown tower damage -14%</t>
  </si>
  <si>
    <t>Damage +20%, crown tower damage -25%, projectile speed +83%, waves +2</t>
  </si>
  <si>
    <t>Staggered deploy +0.15sec</t>
  </si>
  <si>
    <t>Range -0.4</t>
  </si>
  <si>
    <t>Staggered deploy -0.05sec</t>
  </si>
  <si>
    <t>Staggered deploy +0.1sec, range -0.4</t>
  </si>
  <si>
    <t>Damage +2%</t>
  </si>
  <si>
    <t>Hitpoints -4%</t>
  </si>
  <si>
    <t>Damage +2%, hitpoints -1%</t>
  </si>
  <si>
    <t>Staggered deploy +0.1sec</t>
  </si>
  <si>
    <t>Hitpoints -5%, damage +5%, staggered deploy +0.1sec</t>
  </si>
  <si>
    <t>Hitpoints +10%</t>
  </si>
  <si>
    <t>Hit speed +0.1sec</t>
  </si>
  <si>
    <t>Hitpoints -6%</t>
  </si>
  <si>
    <t>Hitpoints +3%</t>
  </si>
  <si>
    <t>Damage +5%</t>
  </si>
  <si>
    <t>Hitpoints +2%</t>
  </si>
  <si>
    <t>Range +0.2</t>
  </si>
  <si>
    <t>Hitpoints +5%</t>
  </si>
  <si>
    <t>Hitpoints -5%</t>
  </si>
  <si>
    <t>Hitpoints +9%, damage +5%, hit speed +0.1sec, range +0.2</t>
  </si>
  <si>
    <t>Crown tower damage -40%</t>
  </si>
  <si>
    <t>Hitpoints +7%</t>
  </si>
  <si>
    <t>Range +0.15</t>
  </si>
  <si>
    <t>Hit speed -0.1sec</t>
  </si>
  <si>
    <t>Hitpoints +11%, damage +5%, hit speed -0.1sec, range -0.25</t>
  </si>
  <si>
    <t>Cost -1, damage -25%</t>
  </si>
  <si>
    <t>Damage +11%</t>
  </si>
  <si>
    <t>Damage +3%</t>
  </si>
  <si>
    <t>Initial attack time +0.3sec</t>
  </si>
  <si>
    <t>Cost -1, damage -14%, initial attack time +0.3sec</t>
  </si>
  <si>
    <t>Damage -5%</t>
  </si>
  <si>
    <t>Hitpoints -2%</t>
  </si>
  <si>
    <t>Range -0.05</t>
  </si>
  <si>
    <t>Hitpoints -2%, range -0.05</t>
  </si>
  <si>
    <t>Hit speed -0.2sec</t>
  </si>
  <si>
    <t>Damage +34%, hit speed +0.5sec</t>
  </si>
  <si>
    <t>Damage +34%, hit speed +0.4sec, staggered deploy +0.1sec</t>
  </si>
  <si>
    <t>Damage -6%</t>
  </si>
  <si>
    <t>Hitpoints -1%</t>
  </si>
  <si>
    <t>Hitpoints -1%, damage -6%, staggered deploy +0.1sec</t>
  </si>
  <si>
    <t>3 Jun 2019</t>
  </si>
  <si>
    <t>Lifetime +5sec; Goblin Brawler damage +25%</t>
  </si>
  <si>
    <t>Goblin Brawler speed to Fast (from Very Fast)</t>
  </si>
  <si>
    <t>Goblin Brawler damage +6%</t>
  </si>
  <si>
    <t>Lifetime +5sec; Goblin Brawler damage +33%, speed to Fast (from Very Fast)</t>
  </si>
  <si>
    <t>Damage +10%</t>
  </si>
  <si>
    <t>Damage +9%</t>
  </si>
  <si>
    <t>Hitpoints -2%, damage +2%</t>
  </si>
  <si>
    <t>Damage +4%</t>
  </si>
  <si>
    <t>Range +0.5</t>
  </si>
  <si>
    <t>Hitpoints +28%</t>
  </si>
  <si>
    <t>Cost -1, hitpoints -31%, damage -32%</t>
  </si>
  <si>
    <t>Cost -1, hitpoints -13%, damage -13%, hit speed -0.2sec, range +0.5</t>
  </si>
  <si>
    <t>Hitpoints +11%, damage +11%</t>
  </si>
  <si>
    <t>Hitpoints +5%, damage +5%</t>
  </si>
  <si>
    <t>Count -1</t>
  </si>
  <si>
    <t>Count +1</t>
  </si>
  <si>
    <t>Hitpoints +19%, damage +19%, count -1</t>
  </si>
  <si>
    <t>Death spawn count -2</t>
  </si>
  <si>
    <t>Lifetime -20sec; Skeleton hitpoints +11%, damage +11%</t>
  </si>
  <si>
    <t>Hitpoints +10%; Skeleton hitpoints +5%, damage +5%</t>
  </si>
  <si>
    <t>Hitpoints +9%</t>
  </si>
  <si>
    <t>Spawn speed -0.4sec</t>
  </si>
  <si>
    <t>Spawn speed +0.4sec</t>
  </si>
  <si>
    <t>Spawn speed +0.2sec, death spawn count -1</t>
  </si>
  <si>
    <t>Hitpoints +4%</t>
  </si>
  <si>
    <t>Hitpoints +25%, lifetime -20%, spawn speed +0.2sec, death spawn count -3; Skeleton hitpoints +19%, damage +19%</t>
  </si>
  <si>
    <t>Hitpoints +10%, damage +10%</t>
  </si>
  <si>
    <t>Hit speed +0.2sec</t>
  </si>
  <si>
    <t>Range +0.2, area damage radius +20%</t>
  </si>
  <si>
    <t>Area damage radius -21%</t>
  </si>
  <si>
    <t>Hitpoints +18%, damage +17%, hit speed -0.1sec, range +0.2, area damage radius -5%</t>
  </si>
  <si>
    <t>Hitpoints -10%, hit speed -0.3sec, range +0.5</t>
  </si>
  <si>
    <t>Cost -1, count -5, Skeleton level +5</t>
  </si>
  <si>
    <t>Cost -1, count -4; Skeleton hitpoints +89%, damage +89%</t>
  </si>
  <si>
    <t>Cost -3, range -1, lifetime -20sec, hitpoints -55%</t>
  </si>
  <si>
    <t>Lifetime -10sec</t>
  </si>
  <si>
    <t>Hitpoints -11%</t>
  </si>
  <si>
    <t>Hitpoints -8%</t>
  </si>
  <si>
    <t>Damage +32%, hit speed +0.2sec</t>
  </si>
  <si>
    <t>Cost -3, hitpoints -65%, damage +38%, hit speed +0.1sec, range -1, lifetime -30sec</t>
  </si>
  <si>
    <t>Hitpoints -13%, count +1, staggered deploy +0.15sec</t>
  </si>
  <si>
    <t>Hitpoints -16%, hit speed -0.1sec, count +1, staggered deploy +0.1sec</t>
  </si>
  <si>
    <t>19 Sep 2016</t>
  </si>
  <si>
    <t>Damage -6%, hit speed +0.1sec</t>
  </si>
  <si>
    <t>Damage -4%, hit speed +0.1sec</t>
  </si>
  <si>
    <t>Damage -11%, hit speed +0.3sec, range -0.4</t>
  </si>
  <si>
    <t>10 Feb 2017</t>
  </si>
  <si>
    <t>Charge range +1, Barbarian deploy time +0.2sec</t>
  </si>
  <si>
    <t>Barbarian hit speed -0.1sec</t>
  </si>
  <si>
    <t>Charge range -0.5</t>
  </si>
  <si>
    <t>Damage -11%</t>
  </si>
  <si>
    <t>Barbarian hitpoints -13%</t>
  </si>
  <si>
    <t>Charge range +0.5, damage -11%, Barbarian deploy time +0.2sec; Barbarian hitpoints -13%, hit speed -0.1sec</t>
  </si>
  <si>
    <t>Damage +17%</t>
  </si>
  <si>
    <t>Cost -1, damage -9%, range -2</t>
  </si>
  <si>
    <t>Barbarian deploy time -0.25sec</t>
  </si>
  <si>
    <t>Damage -10%</t>
  </si>
  <si>
    <t>Width -0.65</t>
  </si>
  <si>
    <t>Damage -15%</t>
  </si>
  <si>
    <t>Damage +8%</t>
  </si>
  <si>
    <t>Cost -1, damage -16%, width -0.65, range -1.5, Barbarian deploy time -0.25sec; Barbarian hitpoints -13%, hit speed -0.1sec</t>
  </si>
  <si>
    <t>Goblin level -1</t>
  </si>
  <si>
    <t>Goblin deploy time -0.2sec</t>
  </si>
  <si>
    <t>Cost -1, damage -100%; Goblin deploy time +0.2sec</t>
  </si>
  <si>
    <t>Goblin damage -6%</t>
  </si>
  <si>
    <t>Goblin deploy time -0.1sec</t>
  </si>
  <si>
    <t>Cost -1, damage -100%, Goblin deploy time -0.1sec; Goblin hitpoints -9%, damage -15%</t>
  </si>
  <si>
    <t>6 Jul 2020</t>
  </si>
  <si>
    <t>Damage -6%, hit speed +0.2sec</t>
  </si>
  <si>
    <t>3 May 2016</t>
  </si>
  <si>
    <t>Area damage radius +25%</t>
  </si>
  <si>
    <t>Area damage radius +13%</t>
  </si>
  <si>
    <t>Cost -1, hitpoints +109%, damage +6%, range +0.5, area damage radius +47%, count -2</t>
  </si>
  <si>
    <t>Cost -1, hitpoints +109%, damage +11%, range +0.5, area damage radius +108%, count -2, staggered deploy +0.1sec</t>
  </si>
  <si>
    <t>Lifetime -15sec, re-targeting time -1.6sec</t>
  </si>
  <si>
    <t>Hitpoints -6%, lifetime -5sec</t>
  </si>
  <si>
    <t>Hitpoints +6%</t>
  </si>
  <si>
    <t>Hitpoints +3%, lifetime -30sec, re-targeting time -1.6sec</t>
  </si>
  <si>
    <t>Damage -7%</t>
  </si>
  <si>
    <t>Hit speed -0.2sec, initial attack time +0.2sec</t>
  </si>
  <si>
    <t>Damage +2%, area damage radius +25%</t>
  </si>
  <si>
    <t>Damage -5%, hit speed -0.3sec, range +0.5, initial attack time +0.2sec, area damage radius +25%</t>
  </si>
  <si>
    <t>Hitpoints +11%, death damage timer +2sec</t>
  </si>
  <si>
    <t>Damage +20%</t>
  </si>
  <si>
    <t>Initial attack time -0.2sec, mass +3</t>
  </si>
  <si>
    <t>Damage +28%, death damage -54%</t>
  </si>
  <si>
    <t>Crown tower death damage +100%</t>
  </si>
  <si>
    <t>Hitpoints +17%, damage +67%, death damage -54%, crown tower death damage -7%, mass +3, death damage timer +2sec</t>
  </si>
  <si>
    <t>Cost -1, hitpoints -13%</t>
  </si>
  <si>
    <t>Deploy time -2sec</t>
  </si>
  <si>
    <t>Hitpoints -10%, range +0.85</t>
  </si>
  <si>
    <t>Cost -1, hitpoints -22%, damage +13%, range +0.45, deploy time -2sec</t>
  </si>
  <si>
    <t>Deploy time -0.3sec</t>
  </si>
  <si>
    <t>Deploy time +0.3sec, hitpoints -6%</t>
  </si>
  <si>
    <t>Range -0.1</t>
  </si>
  <si>
    <t>Crown tower damage -25%, range -0.1</t>
  </si>
  <si>
    <t>Damage +6%</t>
  </si>
  <si>
    <t>Damage -6%, stun duration +1sec</t>
  </si>
  <si>
    <t>Stun duration -0.5sec</t>
  </si>
  <si>
    <t>Damage -6%, stun duration +0.5sec, crown tower damage -43%</t>
  </si>
  <si>
    <t>8 Jul 2017</t>
  </si>
  <si>
    <t>Count -1 (before release)</t>
  </si>
  <si>
    <t>Initial attack time -0.2sec</t>
  </si>
  <si>
    <t>Hit speed +0.3sec, count +1, initial attack time -0.2sec, staggered deploy +0.1sec</t>
  </si>
  <si>
    <t>Hit speed +0.1sec, initial attack time +0.1sec</t>
  </si>
  <si>
    <t>Damage -6%, hit speed +0.1sec, initial attack time +0.1sec</t>
  </si>
  <si>
    <t>26 Feb 2019</t>
  </si>
  <si>
    <t>Hit speed -0.3sec</t>
  </si>
  <si>
    <t>Damage +10%, range +0.25</t>
  </si>
  <si>
    <t>Cost -1, damage -9%, mass +2</t>
  </si>
  <si>
    <t>Damage -19%, area damage radius -25%</t>
  </si>
  <si>
    <t>Cost -1, damage -19%, range +0.25, hit speed -0.3sec, area damage radius -25%, mass +2, staggered deploy +0.1sec</t>
  </si>
  <si>
    <t>Skeleton level -1</t>
  </si>
  <si>
    <t>Damage +3%; Skeleton hitpoints +11%, damage +11%</t>
  </si>
  <si>
    <t>Damage +10%; Skeleton hitpoints +5%, damage +5%</t>
  </si>
  <si>
    <t xml:space="preserve">Hitpoints +5%, area damage radius +10%, spawn speed -0.5sec, </t>
  </si>
  <si>
    <t>Hitpoints +17%, spawn speed -2sec, hit speed +0.3sec</t>
  </si>
  <si>
    <t>Hitpoints -3%</t>
  </si>
  <si>
    <t>Death spawn count +3</t>
  </si>
  <si>
    <t>Hitpoints -11%, damage +219%, hit speed +0.4sec, area damage radius -45%, number per spawn +1, spawn speed +2sec, death spawn count -3</t>
  </si>
  <si>
    <t>Hit speed +0.3sec, area damage radius -100%, initial spawn time +2.5sec, mass +4</t>
  </si>
  <si>
    <t>Damage -49%, hit speed -0.6sec, area damage added</t>
  </si>
  <si>
    <t>Initial attack time -0.3sec</t>
  </si>
  <si>
    <t>Initial spawn time -2.5sec</t>
  </si>
  <si>
    <t>Hitpoints +5%, damage +140%, hit speed +0.4sec, spawn speed -0.5sec, range +0.5, number per spawn +1, initial attack time -0.3sec, mass +4; Skeleton hitpoints +10%, damage +10%</t>
  </si>
  <si>
    <t>29 Feb 2016</t>
  </si>
  <si>
    <t>Hitpoints -10%</t>
  </si>
  <si>
    <t>Area damage radius -25%</t>
  </si>
  <si>
    <t>Hitpoints -10%, projectile speed +33%, area damage radius -25%</t>
  </si>
  <si>
    <t>Lifetime -40sec</t>
  </si>
  <si>
    <t>Cost -2, damage -40%, lifetime -20sec, range -1</t>
  </si>
  <si>
    <t>Lifetime +10sec</t>
  </si>
  <si>
    <t>Deploy time +2sec</t>
  </si>
  <si>
    <t>Deploy time -1sec</t>
  </si>
  <si>
    <t>Area damage radius +11%</t>
  </si>
  <si>
    <t>Deploy time -0.5sec</t>
  </si>
  <si>
    <t>Minimum range -1</t>
  </si>
  <si>
    <t>Hitpoints -4%, damage -4%</t>
  </si>
  <si>
    <t>Cost -2, lifetime -50sec, hitpoints -4%, damage -42%, minimum range -1, deploy time +0.5sec, area damage radius +11%</t>
  </si>
  <si>
    <t>Hitpoints -15%, targets -air</t>
  </si>
  <si>
    <t>Range -1</t>
  </si>
  <si>
    <t>Deploy time -1sec, hitpoints +18%</t>
  </si>
  <si>
    <t>Hitpoints -4%, damage +30%, hit speed +0.05sec, lifetime -10sec</t>
  </si>
  <si>
    <t>Damage +30%, hit speed +0.05sec, deploy time +0.5sec, lifetime -10sec, range -1, targets -air</t>
  </si>
  <si>
    <t>Death damage +105%, death damage radius +50%</t>
  </si>
  <si>
    <t>Death damage timer +2sec</t>
  </si>
  <si>
    <t>Death damage -27%</t>
  </si>
  <si>
    <t>Hitpoints +5%, death damage +50%, death damage radius +50%, death damage timer +2sec</t>
  </si>
  <si>
    <t>4 Jul 2016</t>
  </si>
  <si>
    <t>Cast time -66%, travel speed +20%</t>
  </si>
  <si>
    <t>Range +2</t>
  </si>
  <si>
    <t>Damage +8%, travel speed +?%</t>
  </si>
  <si>
    <t>Range -0.5</t>
  </si>
  <si>
    <t>Crown tower damage -14%, range -1</t>
  </si>
  <si>
    <t>Cast time -66%, travel speed increased, range +0.5, crown tower damage -25%</t>
  </si>
  <si>
    <t>6 Aug 2018</t>
  </si>
  <si>
    <t>Cost +2 (before release)¹</t>
  </si>
  <si>
    <t>Damage +12%</t>
  </si>
  <si>
    <t>Cost -1, hit speed +0.1sec</t>
  </si>
  <si>
    <t>Cost -1, damage +21%, hit speed +0.1sec, staggered deploy +0.1sec</t>
  </si>
  <si>
    <t>Range +1</t>
  </si>
  <si>
    <t>Deploy time +1sec</t>
  </si>
  <si>
    <t>Damage +60%, range -1.5, deploy time -1sec</t>
  </si>
  <si>
    <t>Damage +85%, range -0.5, hit speed +0.2sec</t>
  </si>
  <si>
    <t>20 Jun 2018</t>
  </si>
  <si>
    <t>Initial attack time -0.65sec</t>
  </si>
  <si>
    <t>Hit speed +0.1sec, initial attack time -0.65sec</t>
  </si>
  <si>
    <t>Cost -1</t>
  </si>
  <si>
    <t>Cost +1, damage +3%</t>
  </si>
  <si>
    <t>Cost -1, deploy time +2sec, staggered deploy +0.15sec</t>
  </si>
  <si>
    <t>Deploy time -1sec, staggered deploy +0.35sec</t>
  </si>
  <si>
    <t>Staggered deploy -0.4sec</t>
  </si>
  <si>
    <t>Cost -1, damage +3%, initial attack time +0.3sec, staggered deploy +0.1sec</t>
  </si>
  <si>
    <t>Charge speed -13%</t>
  </si>
  <si>
    <t>Damage +7.5%</t>
  </si>
  <si>
    <t>Damage +6%, hit speed -0.1sec</t>
  </si>
  <si>
    <t>Hitpoints +5%, hit speed -0.1sec</t>
  </si>
  <si>
    <t>Shield hitpoints -25%</t>
  </si>
  <si>
    <t>Charge range +1</t>
  </si>
  <si>
    <t>Range +0.2, area damage radius +25%</t>
  </si>
  <si>
    <t>Range -0.05, area damage radius -4%</t>
  </si>
  <si>
    <t>Area damage radius -8%</t>
  </si>
  <si>
    <t>Hitpoints +11%, shield hitpoints -25%, damage +23%, hit speed -0.2sec, range +0.15, charge speed -13%, charge range +1, area damage radius +10%</t>
  </si>
  <si>
    <t>Range -0.25</t>
  </si>
  <si>
    <t>Hitpoints +9%, damage +11%, charge speed -13%, charge range +1, range -0.25</t>
  </si>
  <si>
    <t>Spawn damage -25%, jump damage -25%, spawn radius -0.3 tiles</t>
  </si>
  <si>
    <t>Spawn damage +23%, jump damage +23%, damage -8%</t>
  </si>
  <si>
    <t>Jump minimum range -0.5</t>
  </si>
  <si>
    <t>Spawn damage -8%, jump damage -8%, damage -8%, hit speed -0.1sec, range +0.2, spawn radius -0.3 tiles, jump minimum range -0.5</t>
  </si>
  <si>
    <t>Damage +10%, slowdown duration +0.5sec</t>
  </si>
  <si>
    <t>Damage +14%</t>
  </si>
  <si>
    <t>Radius -0.5</t>
  </si>
  <si>
    <t>Damage +25%, crown tower damage -14%, slowdown duration +0.5sec, radius -0.5</t>
  </si>
  <si>
    <t>Freeze duration -0.5sec</t>
  </si>
  <si>
    <t>Damage -4%, freeze duration -0.5sec</t>
  </si>
  <si>
    <t>Damage -14%, freeze duration -1sec</t>
  </si>
  <si>
    <t>14 Oct 2016</t>
  </si>
  <si>
    <t>Death damage +74%</t>
  </si>
  <si>
    <t>Hitpoints -5%, death damage radius -1, slowdown duration -1sec</t>
  </si>
  <si>
    <t>Slowdown duration -1sec</t>
  </si>
  <si>
    <t>Hitpoints -10%, death damage +74%, death damage radius -1, slowdown duration -2sec</t>
  </si>
  <si>
    <t>Stun duration +0.5sec</t>
  </si>
  <si>
    <t>Damage -3%, radius -0.5</t>
  </si>
  <si>
    <t>Radius +0.5</t>
  </si>
  <si>
    <t>Damage +2%, crown tower damage -39%, stun duration +0.5sec</t>
  </si>
  <si>
    <t>Radius -1</t>
  </si>
  <si>
    <t>Duration -1sec</t>
  </si>
  <si>
    <t>Duration fixed at 5sec, area damage added</t>
  </si>
  <si>
    <t>Crown tower damage -65%</t>
  </si>
  <si>
    <t>Damage -5%, duration -1sec</t>
  </si>
  <si>
    <t>Radius -1, duration fixed at 5sec, duration -1sec, area damage added, damage -5%, crown tower damage -70%</t>
  </si>
  <si>
    <t>Damage +10%, hit speed +0.2sec</t>
  </si>
  <si>
    <t>Slowdown duration +0.5sec</t>
  </si>
  <si>
    <t>Damage +9%, hitpoints -11%</t>
  </si>
  <si>
    <t>Hitpoints -4%⁷</t>
  </si>
  <si>
    <t>Hitpoints -19%, damage +25%, hit speed +0.2sec, slowdown duration +0.5sec</t>
  </si>
  <si>
    <t>Spear Goblin count -1</t>
  </si>
  <si>
    <t>Spear Goblin count -1, staggered deploy +0.1sec; Goblin damage -6%</t>
  </si>
  <si>
    <t>Spear Goblin hit speed -0.2sec</t>
  </si>
  <si>
    <t>Spawn speed +0.1sec</t>
  </si>
  <si>
    <t>Spear Goblin hit speed +0.1sec</t>
  </si>
  <si>
    <t>Lifetime -10sec; Spear Goblin damage +34%, hit speed +0.5sec</t>
  </si>
  <si>
    <t>Spawn speed -0.2sec</t>
  </si>
  <si>
    <t>Spawn speed -0.25sec</t>
  </si>
  <si>
    <t>Lifetime -10sec, death spawn count +3</t>
  </si>
  <si>
    <t>Hitpoints -35%</t>
  </si>
  <si>
    <t>Hitpoints -31%, spawn speed -0.45sec, lifetime -20sec, death spawn count +3; Spear Goblin damage +34%, hit speed +0.4sec</t>
  </si>
  <si>
    <t>Hit speed +0.05sec</t>
  </si>
  <si>
    <t>Damage +8%, hit speed +0.05sec</t>
  </si>
  <si>
    <t>Damage per second +5%</t>
  </si>
  <si>
    <t>Slowdown effect -20%</t>
  </si>
  <si>
    <t>Damage per second +10%</t>
  </si>
  <si>
    <t>Duration -2sec, damage per second +24%</t>
  </si>
  <si>
    <t>Crown tower damage/sec -13%</t>
  </si>
  <si>
    <t>Crown tower damage/sec -14%</t>
  </si>
  <si>
    <t>Damage per second +43%, duration -2sec, slowdown effect -20%, crown tower damage/sec +13%</t>
  </si>
  <si>
    <t>Hitpoints +3%; Bag Spear Goblin range +0.5</t>
  </si>
  <si>
    <t>Hitpoints +9%, hit speed -0.2sec, range -0.05; Bag Spear Goblin range +0.5</t>
  </si>
  <si>
    <t>30 Sep 2016</t>
  </si>
  <si>
    <t>Hitpoints +5%, re-targeting time -0.4sec</t>
  </si>
  <si>
    <t>Hitpoints +7%, re-targeting time -0.2sec</t>
  </si>
  <si>
    <t>Re-targeting time +0.2sec</t>
  </si>
  <si>
    <t>Hitpoints +13%, range -0.5, re-targeting time -0.4sec</t>
  </si>
  <si>
    <t>25 Nov 2016</t>
  </si>
  <si>
    <t>Hitpoints +19%, damage +14%, hit speed -0.1sec</t>
  </si>
  <si>
    <t>Hitpoints -4%, damage -4%, hit speed +0.1sec</t>
  </si>
  <si>
    <t>Hitpoints -4%, initial attack time +0.1sec</t>
  </si>
  <si>
    <t>Damage +18%, hit speed +0.2sec</t>
  </si>
  <si>
    <t>Hitpoints +14%, damage +6%, hit speed -0.2sec, speed to Fast (from Very Fast)</t>
  </si>
  <si>
    <t>Hit speed -0.1sec, initial attack time -0.1sec</t>
  </si>
  <si>
    <t>Sight range +0.5</t>
  </si>
  <si>
    <t>Hitpoints +25%, damage +36%, range +0.2, hit speed -0.1sec, speed to Fast (from Very Fast), sight range +0.5, staggered deploy +0.1sec</t>
  </si>
  <si>
    <t>Range -0.4, staggered deploy +0.1sec</t>
  </si>
  <si>
    <t>Cost -1, hitpoints -14%, lifetime -10sec; Fire Spirit area damage radius +25%</t>
  </si>
  <si>
    <t>Fire Spirit damage +5%</t>
  </si>
  <si>
    <t>Hitpoints -16%</t>
  </si>
  <si>
    <t>Fire Spirit area damage radius +13%</t>
  </si>
  <si>
    <t>Number per spawn -1, spawn speed -2sec?, lifetime -1sec; Fire Spirit hitpoints +109%, damage +6%, range +0.5, area damage radius +47%</t>
  </si>
  <si>
    <t>Cost -1, hitpoints -31%, number per spawn -1, spawn speed -2sec?, lifetime -1sec; Fire Spirit hitpoints +109%, damage +11%, range +0.5, area damage radius +108%</t>
  </si>
  <si>
    <t>Initial attack time +0.4sec</t>
  </si>
  <si>
    <t>Damage +2%, range -1, initial attack time +0.4sec</t>
  </si>
  <si>
    <t>Hitpoints +43%, damage +43%, death damage +43%; Golemite hitpoints -43%, damage -43%, death damage -43%</t>
  </si>
  <si>
    <t>Hitpoints -5%; Golemite hitpoints -5%</t>
  </si>
  <si>
    <t>Hitpoints +5%; Golemite hitpoints +5%</t>
  </si>
  <si>
    <t>Hitpoints +1%, damage +5%, death damage +5%; Golemite hitpoints +3%, damage +8%, death damage +8%</t>
  </si>
  <si>
    <t>Golemite damage -23%, death damage +55%</t>
  </si>
  <si>
    <t>Death damage -28%</t>
  </si>
  <si>
    <t>Hitpoints +45%, damage +50%, death damage +8%; Golemite hitpoints -41%, damage -53%, death damage -6%</t>
  </si>
  <si>
    <t>Snare movement reduction -15%</t>
  </si>
  <si>
    <t>Hitpoints +3%; Lava Pup hitpoints +9%</t>
  </si>
  <si>
    <t>Damage +28%</t>
  </si>
  <si>
    <t>Lava Pup hitpoints -1%</t>
  </si>
  <si>
    <t>Range +1.5; Lava Pup damage +67%, hit speed +0.7sec, range -0.4</t>
  </si>
  <si>
    <t>Hitpoints +9%, damage +28%, range +1.5; Lava Pup hitpoints +8%, damage +67%, hit speed +0.7sec, range -0.4</t>
  </si>
  <si>
    <t>Damage +7%</t>
  </si>
  <si>
    <t>Hit speed +0.1sec, lifetime -20sec</t>
  </si>
  <si>
    <t>Hitpoints +8%</t>
  </si>
  <si>
    <t>Damage +41%, hit speed +0.2sec</t>
  </si>
  <si>
    <t>Lifetime -5sec, hit speed +0.1sec</t>
  </si>
  <si>
    <t>Initial attack time -0.8sec</t>
  </si>
  <si>
    <t>Hitpoints +8%, damage +50%, hit speed +0.4sec, lifetime -25sec, initial attack time -0.8sec</t>
  </si>
  <si>
    <t>2 Nov 2020</t>
  </si>
  <si>
    <t>No change</t>
  </si>
  <si>
    <t>Targets +air</t>
  </si>
  <si>
    <t>Damage +20%, hit speed +0.4sec, initial attack time -0.4sec, staggered deploy +0.15sec</t>
  </si>
  <si>
    <t>Damage +15%, hit speed +0.1sec</t>
  </si>
  <si>
    <t>Initial attack time +0.2sec</t>
  </si>
  <si>
    <t>Damage +38%, hit speed +0.5sec, targets +air, initial attack time -0.4sec, staggered deploy +0.1sec</t>
  </si>
  <si>
    <t>Reflected damage scales per level⁵</t>
  </si>
  <si>
    <t>Reflected damage scales per level</t>
  </si>
  <si>
    <t>9 Nov 2018</t>
  </si>
  <si>
    <t>Hitpoints -5%, initial attack time +0.5sec</t>
  </si>
  <si>
    <t>30 Dec 2016</t>
  </si>
  <si>
    <t>Hitpoints +9%, spawn damage -6%</t>
  </si>
  <si>
    <t>Damage -4%, initial attack time +0.2sec</t>
  </si>
  <si>
    <t>Damage -3%</t>
  </si>
  <si>
    <t>Damage -2%</t>
  </si>
  <si>
    <t>Hitpoints +8%, damage -9%, spawn damage -6%, hit speed +0.1sec, initial attack time +0.2sec</t>
  </si>
  <si>
    <t>Damage -15%, hit speed -1sec</t>
  </si>
  <si>
    <t>Initial attack time +0.5sec</t>
  </si>
  <si>
    <t>Damage -15%, hit speed -1sec, range +0.5, initial attack time +0.5sec</t>
  </si>
  <si>
    <t>17 Nov 2017</t>
  </si>
  <si>
    <t>Death damage added</t>
  </si>
  <si>
    <t>Skeleton count -2</t>
  </si>
  <si>
    <t>Skeleton count +1</t>
  </si>
  <si>
    <t>Death damage +63%</t>
  </si>
  <si>
    <t>Hitpoints -15%, speed to Fast (from Medium)</t>
  </si>
  <si>
    <t>Hitpoints -18%</t>
  </si>
  <si>
    <t>Hitpoints -31%, speed to Fast (from Medium), Skeleton count -1, death damage added and +63%</t>
  </si>
  <si>
    <t>Damage per second +11%, building damage/sec -16%</t>
  </si>
  <si>
    <t>Movement slowdown effect +15%, attack speed slow effect -35%</t>
  </si>
  <si>
    <t>Building damage/sec +17%, Crown tower damage/sec -15%⁶</t>
  </si>
  <si>
    <t>Damage per second +11%, building damage/sec -3%, crown tower damage/sec -3%, movement slowdown effect +15%, attack speed slowdown effect -35%</t>
  </si>
  <si>
    <t>Lifetime -20sec</t>
  </si>
  <si>
    <t>Projectile speed +66%</t>
  </si>
  <si>
    <t>Cost -1, lifetime -5sec, hitpoints -33%</t>
  </si>
  <si>
    <t>Death damage -50%</t>
  </si>
  <si>
    <t>Cost -1, hitpoints -29%, damage +5%, hit speed -0.2sec, lifetime -35sec, death damage added and -50%, projectile speed +66%</t>
  </si>
  <si>
    <t>Mirrored common level +4, Mirrored rare level +2</t>
  </si>
  <si>
    <t>Mirrored legendary level -1</t>
  </si>
  <si>
    <t>Mirrored common level +1, Mirrored rare level +1</t>
  </si>
  <si>
    <t>Mirrored common level +1, Mirrored rare level +1, Mirrored epic level +1, Mirrored legendary level +1</t>
  </si>
  <si>
    <t>Mirrored common level +6, Mirrored rare level +4, Mirrored epic level +1</t>
  </si>
  <si>
    <t>Hitpoints +8%, damage +8%</t>
  </si>
  <si>
    <t>Hitpoints +5%, damage +5%, hit speed -0.1sec</t>
  </si>
  <si>
    <t>Hitpoints -25%, hit speed -0.1sec</t>
  </si>
  <si>
    <t>Hitpoints -15%, damage +13%, hit speed -0.2sec, staggered deploy +0.1sec</t>
  </si>
  <si>
    <t>28 Oct 2016</t>
  </si>
  <si>
    <t>Duration +1sec, radius -1, initial spawn time +0.5sec</t>
  </si>
  <si>
    <t>Minor fix (reverted on 11/18)</t>
  </si>
  <si>
    <t>Initial spawn time +0.2sec</t>
  </si>
  <si>
    <t>Radius -1, initial spawn time +0.7sec</t>
  </si>
  <si>
    <t>Damage -6%, invisibility delay +0.5sec, hit speed +0.1sec</t>
  </si>
  <si>
    <t>Invisibility delay +0.4sec</t>
  </si>
  <si>
    <t>Hitpoints -9%</t>
  </si>
  <si>
    <t>Hipoints -9%, damage -6%, area damage radius +25%, invisibility delay +0.9sec, hit speed +0.1sec</t>
  </si>
  <si>
    <t>Rascal Boy hitpoints -5%</t>
  </si>
  <si>
    <t>Rascal Boy hit speed +0.2sec</t>
  </si>
  <si>
    <t>Rascal Boy range -0.2</t>
  </si>
  <si>
    <t>Rascal Girl initial attack time -0.2sec</t>
  </si>
  <si>
    <t>Staggered deploy +0.1sec; Rascal Boy hitpoints -5%, hit speed +0.2sec, range -0.2; Rascal Girl initial attack time -0.2sec</t>
  </si>
  <si>
    <t>Duration -0.5sec</t>
  </si>
  <si>
    <t>Radius +1</t>
  </si>
  <si>
    <t>Cost -2, duration -0.5sec, healing/sec -63%</t>
  </si>
  <si>
    <t>Reworked from Heal to Heal Spirit⁴</t>
  </si>
  <si>
    <t>Heal radius -0.5</t>
  </si>
  <si>
    <t>Healing/sec -9%</t>
  </si>
  <si>
    <t>Damage -69%</t>
  </si>
  <si>
    <t>Damage +225%, heal radius -1</t>
  </si>
  <si>
    <t>Reworked from Heal to Heal Spirit, damage -69%, heal radius -1.5, healing/sec -9%</t>
  </si>
  <si>
    <t>Production speed -0.1sec</t>
  </si>
  <si>
    <t>Hitpoints -20%</t>
  </si>
  <si>
    <t>Cost +1, lifetime +10sec</t>
  </si>
  <si>
    <t>Production speed -1.3sec, lifetime -10sec</t>
  </si>
  <si>
    <t>Hitpoints -13%</t>
  </si>
  <si>
    <t>Cost +1, hitpoints -37%, production speed -1.4sec</t>
  </si>
  <si>
    <t>5 Jul 2021</t>
  </si>
  <si>
    <t>Cost -1, hitpoints -8%, damage -10%</t>
  </si>
  <si>
    <t>Hitpoints +8%, range -1, projectile range +1.5</t>
  </si>
  <si>
    <t>Cost -1, damage -10%, range -1, projectile range +1.5</t>
  </si>
  <si>
    <t>Damage +16%, hit speed +0.1sec, initial attack time -0.1sec</t>
  </si>
  <si>
    <t>Hitpoints -10%, range +1</t>
  </si>
  <si>
    <t>Hitpoints -10%, damage +16%, hit speed +0.1sec, initial attack time +0.1sec</t>
  </si>
  <si>
    <t>Hitpoints +4%, dash cooldown -0.2sec</t>
  </si>
  <si>
    <t>Dash minimum range -0.5</t>
  </si>
  <si>
    <t>Dash cooldown -0.2sec, dash minimum range -0.5</t>
  </si>
  <si>
    <t>3 Feb 2020</t>
  </si>
  <si>
    <t>Attack recoil -0.5</t>
  </si>
  <si>
    <t>Hitpoints +10%, Barbarian hitpoints -4%</t>
  </si>
  <si>
    <t>Hitpoints -7%</t>
  </si>
  <si>
    <t>Spawn speed -1sec, lifetime -10sec, death spawn count +2</t>
  </si>
  <si>
    <t>Hitpoints -21%</t>
  </si>
  <si>
    <t>Hitpoints -35%, spawn speed -1sec, lifetime -10sec, death spawn count +2; Barbarian hitpoints -16%, hit speed -0.1sec</t>
  </si>
  <si>
    <t>4 Nov 2019</t>
  </si>
  <si>
    <t>Hitpoints -10%; Elixir Golemite hitpoints -10%; Elixir Blob hitpoints -10% (before release)</t>
  </si>
  <si>
    <t>Hit speed -0.7sec; Elixir Golemite hit speed -0.2sec; Elixir Blob hit speed +0.3sec</t>
  </si>
  <si>
    <t>Hitpoints -6%; Elixir Golemite hitpoints -6%; Elixir Blob hitpoints -6%</t>
  </si>
  <si>
    <t>Hitpoints -6%, hit speed -0.7sec; Elixir Golemite hitpoints -6%, hit speed -0.2sec; Elixir Blob hitpoints -6%, hit speed +0.3sec</t>
  </si>
  <si>
    <t>Boost +5%, duration -2sec</t>
  </si>
  <si>
    <t>Cost -1, boost -10%, duration -2sec</t>
  </si>
  <si>
    <t>Boost +5%</t>
  </si>
  <si>
    <t>Cost -1, duration -4sec</t>
  </si>
  <si>
    <t>Damage -6%, range -0.5, area damage radius -10%</t>
  </si>
  <si>
    <t>Hitpoints -5%, damage +84%, range -0.5, projectile range -2, hit speed +0.1sec, projectile return time -0.5sec³</t>
  </si>
  <si>
    <t>Projectile range +0.5, area damage radius -20%, projectile return time +0.2sec</t>
  </si>
  <si>
    <t>Hitpoints +5%, damage -46%, hit speed -0.1sec, range +0.5, projectile range +1.5, area damage radius +25%</t>
  </si>
  <si>
    <t>Range -0.5, projectile return time -0.3sec</t>
  </si>
  <si>
    <t>31 May 2017</t>
  </si>
  <si>
    <t>Spawn speed +1sec, death spawn count -1</t>
  </si>
  <si>
    <t>Damage -9%, range -0.2, spawn speed +1sec, death spawn count -1</t>
  </si>
  <si>
    <t>Bat hit speed +0.1sec</t>
  </si>
  <si>
    <t>Death spawn count +2</t>
  </si>
  <si>
    <t>Initial attack time +0.15sec, initial spawn time +2.2sec</t>
  </si>
  <si>
    <t>Bat hit speed +0.2sec</t>
  </si>
  <si>
    <t>Damage -9%, range -0.25, spawn speed +2sec, initial attack time +0.15sec, initial spawn time +2.2sec; Bat hit speed +0.3sec</t>
  </si>
  <si>
    <t>Speed to Very Fast (from Fast), hit speed -0.4sec, damage -23%</t>
  </si>
  <si>
    <t>Rage effect -10%, Rage duration -2sec</t>
  </si>
  <si>
    <t>Rage effect +5%</t>
  </si>
  <si>
    <t>Rage duration +1.5sec and +0.5sec per level</t>
  </si>
  <si>
    <t>Hitpoints +18%, damage -23%, hit speed -0.3sec, speed to Very Fast (from Fast), Rage effect -5%, Rage duration -0.5sec and +0.5sec per level</t>
  </si>
  <si>
    <t>6 Apr 2020</t>
  </si>
  <si>
    <t>Damage +27%</t>
  </si>
  <si>
    <t>Royal Recruit damage +8%</t>
  </si>
  <si>
    <t>Damage +14%, Royal Recruit damage +8%</t>
  </si>
  <si>
    <t>6 Jan 2020</t>
  </si>
  <si>
    <t>9 Dec 2016</t>
  </si>
  <si>
    <t>Radius -1²</t>
  </si>
  <si>
    <t>11 Nov 2016</t>
  </si>
  <si>
    <t>Duration -0.5sec, damage per second +20%</t>
  </si>
  <si>
    <t>Duration -1sec, damage per second +100%, targets +buildings, crown tower damage added</t>
  </si>
  <si>
    <t>Radius +0.5, duration -2sec, damage per second +141%, targets +buildings, crown tower damage added</t>
  </si>
  <si>
    <t>Hitpoints +5%, shield hitpoints +5%</t>
  </si>
  <si>
    <t>Cart Cannon lifetime +10sec</t>
  </si>
  <si>
    <t>Hitpoints +1%, shield hitpoints +1%, damage -17%, hit speed -0.2sec, range +0.5</t>
  </si>
  <si>
    <t>Speed to Medium (from Fast)</t>
  </si>
  <si>
    <t>Cart Cannon hit speed -0.1sec</t>
  </si>
  <si>
    <t>Hitpoints +6%, shield hitpoints +6%, damage -13%, hit speed -0.2sec, speed to Medium (from Fast); Cart Cannon hit speed -0.3sec, lifetime +10sec</t>
  </si>
  <si>
    <t>Damage +15%, hit speed -0.1sec, initial attack time -0.1sec</t>
  </si>
  <si>
    <t>Hitpoints +10%, ranged attack maximum range +0.5 (before release)</t>
  </si>
  <si>
    <t>Cost -1, hitpoints -5%, damage -11%³</t>
  </si>
  <si>
    <t>Hitpoints -5%, damage -6%</t>
  </si>
  <si>
    <t>Ranged attack maximum range -1, ranged attack charge time +0.1sec</t>
  </si>
  <si>
    <t>Ranged attack maximum range +1, ranged attack charge time +0.4sec</t>
  </si>
  <si>
    <t>Hit speed -0.2sec, ranged attack charge time -0.2sec</t>
  </si>
  <si>
    <t>Cost -1, hitpoints -18%, damage -16%, hit speed -0.2sec, ranged attack charge time +0.3sec</t>
  </si>
  <si>
    <t>Damage +0-8%</t>
  </si>
  <si>
    <t>¹Royal Recruits received the cost increase on 27 Jul 2018, before the 6 Aug 2018 balance changes.</t>
  </si>
  <si>
    <t>²Clone received the radius reduction during the 15 Apr 2019 update instead of on the 1 Apr 2019 balance changes.</t>
  </si>
  <si>
    <t>³Executioner first received a range reduction of 1.5 tiles and damage increase of 80% on 2 Sep 2019, but his range was subsequently increased by 1 tile and damage increased by 2% on 5 Sep 2019. Fisherman received a damage reduction of 11% on 2 Sep 2019 but his hitpoints was subsequently reduced by 5% on 5 Sep 2019.</t>
  </si>
  <si>
    <t>⁴Heal was reworked into Heal Spirit on 2 Apr 2020, before the 7 Apr 2020 balance changes.</t>
  </si>
  <si>
    <t>⁵Electro Giant received the change to his reflected damage during the 18 Nov 2020 update instead of the 3 Nov 2020 balance changes.</t>
  </si>
  <si>
    <t>⁶Earthquake received the crown tower damage reduction and the building damage increase on 11 Feb 2021, before the 30 Mar 2021 update.</t>
  </si>
  <si>
    <t>⁷Ice Wizard received another hitpoint reduction of 0.2% on 10 Jun 2021 after his initial hitpoint reduction of 3.4% during the 7 Jun 2021 update.</t>
  </si>
  <si>
    <t>Last updated to reflect the maintenance on 10 Jun 2021.</t>
  </si>
  <si>
    <t>All values are at level 9.</t>
  </si>
  <si>
    <t>Troop units arranged by hitpoints</t>
  </si>
  <si>
    <t>Troop units arranged by damage per hit</t>
  </si>
  <si>
    <t>Troop units arranged by damage per second</t>
  </si>
  <si>
    <t>Troop unit</t>
  </si>
  <si>
    <t>Charge / Dash / Jump / Reflected Damage</t>
  </si>
  <si>
    <t>Spawn / Death Damage</t>
  </si>
  <si>
    <t>Inferno Dragon (T1)</t>
  </si>
  <si>
    <t>Minion</t>
  </si>
  <si>
    <t>Royal Hog</t>
  </si>
  <si>
    <t>Zappy</t>
  </si>
  <si>
    <t>Archer</t>
  </si>
  <si>
    <t>Skeleton Dragon</t>
  </si>
  <si>
    <t>Guard</t>
  </si>
  <si>
    <t>Wall Breaker</t>
  </si>
  <si>
    <t>Inferno Dragon (T2)</t>
  </si>
  <si>
    <t>Elite Barbarian</t>
  </si>
  <si>
    <t>Inferno Dragon (T3)</t>
  </si>
  <si>
    <t>Building units arranged by hitpoints</t>
  </si>
  <si>
    <t>Building units arranged by damage per hit</t>
  </si>
  <si>
    <t>Building units arranged by damage per second</t>
  </si>
  <si>
    <t>Building unit</t>
  </si>
  <si>
    <t xml:space="preserve">Inferno Tower (T1) </t>
  </si>
  <si>
    <t>Princess Tower</t>
  </si>
  <si>
    <t>Falling Skeleton Barrel</t>
  </si>
  <si>
    <t>Inferno Tower (T2)</t>
  </si>
  <si>
    <t>Bomb Tower Bomb</t>
  </si>
  <si>
    <t>Inferno Tower (T3)</t>
  </si>
  <si>
    <t>Balloon Bomb</t>
  </si>
  <si>
    <t>Giant Skeleton Bomb</t>
  </si>
  <si>
    <t>Spells arranged by total damage</t>
  </si>
  <si>
    <t>Total Damage</t>
  </si>
  <si>
    <t>Building Damage</t>
  </si>
  <si>
    <t>Last updated to reflect the update on 7 Jun 2021.</t>
  </si>
  <si>
    <t>Chest Information</t>
  </si>
  <si>
    <t>Chest Type</t>
  </si>
  <si>
    <t>Unlock Time</t>
  </si>
  <si>
    <t>Number of Cards</t>
  </si>
  <si>
    <t>Strikes Available</t>
  </si>
  <si>
    <t>Min. Gold per card</t>
  </si>
  <si>
    <t>Max. Gold per card</t>
  </si>
  <si>
    <t>Min. Amount of gold</t>
  </si>
  <si>
    <t>Max. Amount of Gold</t>
  </si>
  <si>
    <t>Rare Factor</t>
  </si>
  <si>
    <t>Guaranteed Rares</t>
  </si>
  <si>
    <t>Chance of subsequent Rare</t>
  </si>
  <si>
    <t>Epic Factor</t>
  </si>
  <si>
    <t>Guaranteed Epics</t>
  </si>
  <si>
    <t>Chance of subsequent Epic</t>
  </si>
  <si>
    <t>Legendary Factor</t>
  </si>
  <si>
    <t>Guaranteed Legendaries</t>
  </si>
  <si>
    <t>Chance of subsequent Legendary</t>
  </si>
  <si>
    <t>Common Wild Card %</t>
  </si>
  <si>
    <t>Average Common Wild Cards</t>
  </si>
  <si>
    <t>Fixed Common Wild Cards</t>
  </si>
  <si>
    <t>Rare Wild Card %</t>
  </si>
  <si>
    <t>Average Rare Wild Cards</t>
  </si>
  <si>
    <t>Fixed Rare Wild Cards</t>
  </si>
  <si>
    <t>Epic Wild Card %</t>
  </si>
  <si>
    <t>Average Epic Wild Cards</t>
  </si>
  <si>
    <t>Fixed Epic Wild Cards</t>
  </si>
  <si>
    <t>Legendary Wild Card %</t>
  </si>
  <si>
    <t>Average Legendary Wild Cards</t>
  </si>
  <si>
    <t>Fixed Legendary Wild Cards</t>
  </si>
  <si>
    <t>Guaranteed cards</t>
  </si>
  <si>
    <t>Cumulative Number of Cards of Each Rarity in Each Arena</t>
  </si>
  <si>
    <t>Arena Battle Chests / Shop Chests</t>
  </si>
  <si>
    <t>Arena</t>
  </si>
  <si>
    <t>Wooden (First)</t>
  </si>
  <si>
    <t>Knight, Arrows</t>
  </si>
  <si>
    <t>Wooden (Second)</t>
  </si>
  <si>
    <t>Wooden (Third)</t>
  </si>
  <si>
    <t>Wooden</t>
  </si>
  <si>
    <t>Silver</t>
  </si>
  <si>
    <t>3 h</t>
  </si>
  <si>
    <t>Arena 1 (Goblin Stadium) (0+ trophies)</t>
  </si>
  <si>
    <t>Golden</t>
  </si>
  <si>
    <t>8 h</t>
  </si>
  <si>
    <t>Magical</t>
  </si>
  <si>
    <t>12 h</t>
  </si>
  <si>
    <t>Free</t>
  </si>
  <si>
    <t>Crown</t>
  </si>
  <si>
    <t>Mega Lightning</t>
  </si>
  <si>
    <t>24 h</t>
  </si>
  <si>
    <t>Fortune</t>
  </si>
  <si>
    <t>King's</t>
  </si>
  <si>
    <t>Crate</t>
  </si>
  <si>
    <t>Plentiful Crate</t>
  </si>
  <si>
    <t>Overflowing Crate</t>
  </si>
  <si>
    <t>Arena 2 (Bone Pit) (300+ trophies)</t>
  </si>
  <si>
    <t>Arena 3 (Barbarian Bowl) (600+ trophies)</t>
  </si>
  <si>
    <t>Arena 4 (P.E.K.K.A's Playhouse) (1000+ trophies)</t>
  </si>
  <si>
    <t>Arena 5 (Spell Valley) (1300+ trophies)</t>
  </si>
  <si>
    <t>Arena 6 (Builder's Workshop) (1600+ trophies)</t>
  </si>
  <si>
    <t>Arena 7 (Royal Arena) (2000+ trophies)</t>
  </si>
  <si>
    <t>Legendary King's</t>
  </si>
  <si>
    <t>Arena 8 (Frozen Peak) (2300+ trophies)</t>
  </si>
  <si>
    <t>Arena 9 (Jungle Arena) (2600+ trophies)</t>
  </si>
  <si>
    <t>Arena 10 (Hog Mountain) (3000+ trophies)</t>
  </si>
  <si>
    <t>Arena 11 (Electro Valley) (3400+ trophies)</t>
  </si>
  <si>
    <t>Arena 12 (Spooky Town) (3800+ trophies)</t>
  </si>
  <si>
    <t>Arena 13 (Rascal's Hideout) (4200+ trophies)</t>
  </si>
  <si>
    <t>Arena 14 (Serenity Peak) (4600+ trophies)</t>
  </si>
  <si>
    <t>Arena 15 (Legendary Arena) (5000+ trophies)</t>
  </si>
  <si>
    <t>Arena-Independent</t>
  </si>
  <si>
    <t>Challenge Chests</t>
  </si>
  <si>
    <t>Grand Challenge</t>
  </si>
  <si>
    <t>0 wins</t>
  </si>
  <si>
    <t>1 win</t>
  </si>
  <si>
    <t>2 wins</t>
  </si>
  <si>
    <t>3 wins</t>
  </si>
  <si>
    <t>4 wins</t>
  </si>
  <si>
    <t>5 wins</t>
  </si>
  <si>
    <t>6 wins</t>
  </si>
  <si>
    <t>7 wins</t>
  </si>
  <si>
    <t>8 wins</t>
  </si>
  <si>
    <t>9 wins</t>
  </si>
  <si>
    <t>10 wins</t>
  </si>
  <si>
    <t>11 wins</t>
  </si>
  <si>
    <t>12 wins</t>
  </si>
  <si>
    <t>Classic Challenge</t>
  </si>
  <si>
    <t>Clan War Chests</t>
  </si>
  <si>
    <t>Bronze League (0+ War trophies)</t>
  </si>
  <si>
    <t>Boot</t>
  </si>
  <si>
    <t>4th / 5th</t>
  </si>
  <si>
    <t>3rd</t>
  </si>
  <si>
    <t>2nd</t>
  </si>
  <si>
    <t>1st</t>
  </si>
  <si>
    <t>Silver League (600+ War trophies)</t>
  </si>
  <si>
    <t>Gold League (1500+ War trophies)</t>
  </si>
  <si>
    <t>Legendary League (3000+ War trophies)</t>
  </si>
  <si>
    <t>Chest Cycle</t>
  </si>
  <si>
    <t>Number of Each Chest In One Cycle</t>
  </si>
  <si>
    <t>Chest No.</t>
  </si>
  <si>
    <t>Level 1–10</t>
  </si>
  <si>
    <t>Level 11</t>
  </si>
  <si>
    <t>Level 12</t>
  </si>
  <si>
    <t>Level 13</t>
  </si>
  <si>
    <t>Chest</t>
  </si>
  <si>
    <t>Free and Crown Chest Gem Cycle</t>
  </si>
  <si>
    <t>Free Chest Gems</t>
  </si>
  <si>
    <t>Crown Chest Gems</t>
  </si>
  <si>
    <t>Training Camp Chest Order</t>
  </si>
  <si>
    <t>Mega Lightning, Epic and Legendary chests run on a separate 500-chest cycle. In every 500-chest cycle, you are guaranteed one Mega Lightning, one Epic and one Legendary Chest. These chests replace those in the main cycle.</t>
  </si>
  <si>
    <t>Winning an Arena Battle when your chest slots are full will NOT cause you to miss out on any chest.</t>
  </si>
  <si>
    <t>Last updated to reflect the update on 5 Sep 2018.</t>
  </si>
  <si>
    <t>Tutorial Trainers</t>
  </si>
  <si>
    <t>Name</t>
  </si>
  <si>
    <t>Trophies</t>
  </si>
  <si>
    <t>King Level</t>
  </si>
  <si>
    <t>Elixir Gain Rate / s*</t>
  </si>
  <si>
    <t>Deck</t>
  </si>
  <si>
    <t>Card Level</t>
  </si>
  <si>
    <t>King Tower Hitpoints</t>
  </si>
  <si>
    <t>Princess Tower Hitpoints</t>
  </si>
  <si>
    <t>Trainer Earl**</t>
  </si>
  <si>
    <t>Trainer Fikova**</t>
  </si>
  <si>
    <t>Trainer Mike**</t>
  </si>
  <si>
    <t>Trainer Klaus</t>
  </si>
  <si>
    <t>Trainer Teemu</t>
  </si>
  <si>
    <t>Training Camp Trainers</t>
  </si>
  <si>
    <t>Trainer Jonas</t>
  </si>
  <si>
    <t>Trainer George</t>
  </si>
  <si>
    <t>Trainer James</t>
  </si>
  <si>
    <t>Trainer Cheese</t>
  </si>
  <si>
    <t>Trainer Urho</t>
  </si>
  <si>
    <t>Trainer Paul</t>
  </si>
  <si>
    <t>Trainer Gary</t>
  </si>
  <si>
    <t>Trainer Red</t>
  </si>
  <si>
    <t>Trainer Oak</t>
  </si>
  <si>
    <t>Trainer Brock</t>
  </si>
  <si>
    <t>Trainer Clemont</t>
  </si>
  <si>
    <t>Trainer Grumpy</t>
  </si>
  <si>
    <t>Trainer Rush</t>
  </si>
  <si>
    <t>Trainer Clint</t>
  </si>
  <si>
    <t>Trainer Basil</t>
  </si>
  <si>
    <t>Trainer Sybil</t>
  </si>
  <si>
    <t>Trainer Dopey</t>
  </si>
  <si>
    <t>Trainer Marty</t>
  </si>
  <si>
    <t>Trainer Arnold</t>
  </si>
  <si>
    <t>Trainer Bashful</t>
  </si>
  <si>
    <t>Trainer Dent</t>
  </si>
  <si>
    <t>Trainer Marvin</t>
  </si>
  <si>
    <t>Trainer Sneezy</t>
  </si>
  <si>
    <t>Trainer Whisker</t>
  </si>
  <si>
    <t>Trainer Snow</t>
  </si>
  <si>
    <t>Trainer Sleepy</t>
  </si>
  <si>
    <t>Trainer Freeze</t>
  </si>
  <si>
    <t>Trainer Jason</t>
  </si>
  <si>
    <t>Trainer Faker</t>
  </si>
  <si>
    <t>Trainer Léon</t>
  </si>
  <si>
    <t>Trainer Happy</t>
  </si>
  <si>
    <t>Trainer Louis</t>
  </si>
  <si>
    <t>Trainer Quincy</t>
  </si>
  <si>
    <t>Trainer Max</t>
  </si>
  <si>
    <t>Trainer Titan</t>
  </si>
  <si>
    <t>Trainer Barry</t>
  </si>
  <si>
    <t>Trainer Rocket</t>
  </si>
  <si>
    <t>Trainer Swiss</t>
  </si>
  <si>
    <t>Trainer Gravy</t>
  </si>
  <si>
    <t>Trainer Shelly</t>
  </si>
  <si>
    <t>Trainer Dragon</t>
  </si>
  <si>
    <t>Trainer Gum</t>
  </si>
  <si>
    <t>Trainer Osteri</t>
  </si>
  <si>
    <t>Trainer Diamond</t>
  </si>
  <si>
    <t>Trainer Cheddar**</t>
  </si>
  <si>
    <t>Trainer Cheddar II**</t>
  </si>
  <si>
    <t>*Elixir gain rate is the time taken for the trainer to gain 1 Elixir during single Elixir time. The standard Elixir gain rate for an Arena Battle is 2.8 s.</t>
  </si>
  <si>
    <t>**Trainers Earl, Fikova, Mike, Cheddar and Cheddar II do not speed up their Elixir gain rate during double Elixir and overtime.</t>
  </si>
  <si>
    <t>Last updated to show the December 2020 Classic Decks Challenge decks.</t>
  </si>
  <si>
    <t>Classic Decks</t>
  </si>
  <si>
    <t>December 2020 Classic Decks Challenge Decks</t>
  </si>
  <si>
    <t>Golem Beatdown</t>
  </si>
  <si>
    <t>Spark the Goblin</t>
  </si>
  <si>
    <t>Pigs on Parade</t>
  </si>
  <si>
    <t>LavaLoon</t>
  </si>
  <si>
    <t>P.E.K.K.A Ram</t>
  </si>
  <si>
    <t>Mega Goblins</t>
  </si>
  <si>
    <t>Royal Giant Fisher</t>
  </si>
  <si>
    <t>Spell Bait</t>
  </si>
  <si>
    <t>Gigantic Prince</t>
  </si>
  <si>
    <t>Prince Bait</t>
  </si>
  <si>
    <t>Fishin' for Loons</t>
  </si>
  <si>
    <t>Mortar Swarms</t>
  </si>
  <si>
    <t>Lava Clones</t>
  </si>
  <si>
    <t>Hog'Nado</t>
  </si>
  <si>
    <t>Snow Balloons</t>
  </si>
  <si>
    <t>Royal Pain</t>
  </si>
  <si>
    <t>Cold Dead Hands</t>
  </si>
  <si>
    <t>X-Bow 2.9</t>
  </si>
  <si>
    <t>Girl Firepower</t>
  </si>
  <si>
    <t>Ram Rushers</t>
  </si>
  <si>
    <t>Hog-Quake!</t>
  </si>
  <si>
    <t>Hog Quake</t>
  </si>
  <si>
    <t>Ice Bow</t>
  </si>
  <si>
    <t>Giant Muskets</t>
  </si>
  <si>
    <t>Hog Nado</t>
  </si>
  <si>
    <t>Before June 2019</t>
  </si>
  <si>
    <t>Counter Decks</t>
  </si>
  <si>
    <t>Spell Traps</t>
  </si>
  <si>
    <t>Counter Deck</t>
  </si>
  <si>
    <t>P.E.K.K.A. Ram</t>
  </si>
  <si>
    <t>Goblin Army</t>
  </si>
  <si>
    <t>X-Bow Control</t>
  </si>
  <si>
    <t>Hogging the Mortar</t>
  </si>
  <si>
    <t>Mega Hogs</t>
  </si>
  <si>
    <t>Event Decks</t>
  </si>
  <si>
    <t>CRL World Finals Challenge Decks (2020)</t>
  </si>
  <si>
    <t>Deck by PONOS</t>
  </si>
  <si>
    <t>Deck by NOVA ESPORTS</t>
  </si>
  <si>
    <t>Deck by W.EDGM</t>
  </si>
  <si>
    <t>Deck by FAV GAMING</t>
  </si>
  <si>
    <t>Deck by SK GAMING</t>
  </si>
  <si>
    <t>Deck by TEAM QUESO</t>
  </si>
  <si>
    <t>Deck by PAIN GAMING</t>
  </si>
  <si>
    <t>Deck by TRIBE GAMING</t>
  </si>
  <si>
    <t>Lucky Lady Decks!</t>
  </si>
  <si>
    <t>Lucky Ladies #1</t>
  </si>
  <si>
    <t>Lucky Ladies #2</t>
  </si>
  <si>
    <t>Lucky Ladies #3</t>
  </si>
  <si>
    <t>Lucky Ladies #4</t>
  </si>
  <si>
    <t>Legendary Party Decks</t>
  </si>
  <si>
    <t>Mega Rider</t>
  </si>
  <si>
    <t>Grave Hound</t>
  </si>
  <si>
    <t>Man &amp; Machine</t>
  </si>
  <si>
    <t>Take To The Skies Decks</t>
  </si>
  <si>
    <t>Triple Lizards</t>
  </si>
  <si>
    <t>Flying Minions</t>
  </si>
  <si>
    <t>Clone Hounds</t>
  </si>
  <si>
    <t>Lava-Loon</t>
  </si>
  <si>
    <t>Classic Decks: King's Cup 1</t>
  </si>
  <si>
    <t>YaoYao (1st)</t>
  </si>
  <si>
    <t>Coltonw83 (2nd)</t>
  </si>
  <si>
    <t>ChiefPat (Top 4)</t>
  </si>
  <si>
    <t>TopNotch (Top 4)</t>
  </si>
  <si>
    <t>Classic Decks: Helsinki 2016</t>
  </si>
  <si>
    <t>Jason (1st)</t>
  </si>
  <si>
    <t>Steroidi69 (2nd)</t>
  </si>
  <si>
    <t>Naazime (Top 4)</t>
  </si>
  <si>
    <t>Elfe (Top 4)</t>
  </si>
  <si>
    <t>ClashWithAsh (Top 8)</t>
  </si>
  <si>
    <t>CRL World Finals Challenge Decks (2018)</t>
  </si>
  <si>
    <t>Team Queso</t>
  </si>
  <si>
    <t>Nova Esports</t>
  </si>
  <si>
    <t>PONOS Sports</t>
  </si>
  <si>
    <t>Vivo Keyd</t>
  </si>
  <si>
    <t>Immortals</t>
  </si>
  <si>
    <t>KING-ZONE DragonX</t>
  </si>
  <si>
    <t>Heal</t>
  </si>
  <si>
    <t>Goblin Challenge Decks</t>
  </si>
  <si>
    <t>Ghosts 'n Goblins</t>
  </si>
  <si>
    <t>Gobnado</t>
  </si>
  <si>
    <t>Downton Gobbey</t>
  </si>
  <si>
    <t>Gobsmacked</t>
  </si>
  <si>
    <t>Barrels on Barrels</t>
  </si>
  <si>
    <t>3 Gobsketeers</t>
  </si>
  <si>
    <t>Gobdown</t>
  </si>
  <si>
    <t>Mined the Bait</t>
  </si>
  <si>
    <t>EliteArchers</t>
  </si>
  <si>
    <t>Reddit Blind Deck Challenge Decks</t>
  </si>
  <si>
    <t>Balloon Parade</t>
  </si>
  <si>
    <t>Woodland Warriors</t>
  </si>
  <si>
    <t>Ghostly Bridge Spam</t>
  </si>
  <si>
    <t>Miner-magic</t>
  </si>
  <si>
    <t>Mineroon</t>
  </si>
  <si>
    <t>Magical Miner Poison</t>
  </si>
  <si>
    <t>Magic Double Prince</t>
  </si>
  <si>
    <t>Dank Magical Ram</t>
  </si>
  <si>
    <t>CCGS World Finals Challenge Decks</t>
  </si>
  <si>
    <t>Berin's deck</t>
  </si>
  <si>
    <t>ElecTr1fy's deck</t>
  </si>
  <si>
    <t>Fuchi's deck</t>
  </si>
  <si>
    <t>Adrian Piedra's deck</t>
  </si>
  <si>
    <t>YaoYao's deck</t>
  </si>
  <si>
    <t>Amaterasu's deck</t>
  </si>
  <si>
    <t>X-Bow Master's deck</t>
  </si>
  <si>
    <t>Musicmaster's deck</t>
  </si>
  <si>
    <t>Coltonw83's deck</t>
  </si>
  <si>
    <t>Loupanji's deck</t>
  </si>
  <si>
    <t>Sergioramos's deck</t>
  </si>
  <si>
    <t>Youtuber Challenge Decks</t>
  </si>
  <si>
    <t>Trymacs's deck</t>
  </si>
  <si>
    <t>kiokio's deck</t>
  </si>
  <si>
    <t>Alvaro845's deck</t>
  </si>
  <si>
    <t>Clash with Ash's deck</t>
  </si>
  <si>
    <t>Grax's deck</t>
  </si>
  <si>
    <t>Godspeed's deck</t>
  </si>
  <si>
    <t>Trapa's deck</t>
  </si>
  <si>
    <t>JUNE's deck</t>
  </si>
  <si>
    <t>Flakes Power's deck</t>
  </si>
  <si>
    <t>Orange Juice's deck</t>
  </si>
  <si>
    <t>King's Cup Challenge Decks</t>
  </si>
  <si>
    <t>Vitamin C</t>
  </si>
  <si>
    <t>Viva la Sparky</t>
  </si>
  <si>
    <t>Tower Tornados</t>
  </si>
  <si>
    <t>Meta Maulers</t>
  </si>
  <si>
    <t>Misplaced Rockets</t>
  </si>
  <si>
    <t>Salty Goblins</t>
  </si>
  <si>
    <t>Sparky Masters</t>
  </si>
  <si>
    <t>The Ultra Nytes</t>
  </si>
  <si>
    <t>One-Time Rewards (below 5000 trophies)</t>
  </si>
  <si>
    <t>Quantity</t>
  </si>
  <si>
    <t>Item(s)</t>
  </si>
  <si>
    <t>Arena 1 (Goblin Stadium)</t>
  </si>
  <si>
    <t>Golden Chest (Arena 1)</t>
  </si>
  <si>
    <t>Gold</t>
  </si>
  <si>
    <t>Arena 2 (Bone Pit)</t>
  </si>
  <si>
    <t>Golden Chest (Arena 2)</t>
  </si>
  <si>
    <t>Arena 3 (Barbarian Bowl)</t>
  </si>
  <si>
    <t>Golden Chest (Arena 3)</t>
  </si>
  <si>
    <t>Gems</t>
  </si>
  <si>
    <t>Giant Chest (Arena 3)</t>
  </si>
  <si>
    <t>Arena 4 (P.E.K.K.A's Playhouse)</t>
  </si>
  <si>
    <t>Common Wild Card</t>
  </si>
  <si>
    <t>Golden Chest (Arena 4)</t>
  </si>
  <si>
    <t>Arena 5 (Spell Valley)</t>
  </si>
  <si>
    <t>Magical Chest (Arena 5)</t>
  </si>
  <si>
    <t>Rare Wild Card</t>
  </si>
  <si>
    <t>Arena 6 (Builder's Workshop)</t>
  </si>
  <si>
    <t>Golden Chest (Arena 6)</t>
  </si>
  <si>
    <t>Legendary Chest</t>
  </si>
  <si>
    <t>Arena 7 (Royal Arena)</t>
  </si>
  <si>
    <t>Golden Chest (Arena 7)</t>
  </si>
  <si>
    <t>Emote</t>
  </si>
  <si>
    <t>Epic Wild Card</t>
  </si>
  <si>
    <t>Arena 8 (Frozen Peak)</t>
  </si>
  <si>
    <t>Epic Chest (Arena 8)</t>
  </si>
  <si>
    <t>Arena 9 (Jungle Arena)</t>
  </si>
  <si>
    <t>Golden Chest (Arena 9)</t>
  </si>
  <si>
    <t>Giant Chest (Arena 9)</t>
  </si>
  <si>
    <t>Arena 10 (Hog Mountain)</t>
  </si>
  <si>
    <t>Lightning Chest (Arena 10)</t>
  </si>
  <si>
    <t>Magical Chest (Arena 10)</t>
  </si>
  <si>
    <t>Arena 11 (Electro Valley)</t>
  </si>
  <si>
    <t>Lightning Chest (Arena 11)</t>
  </si>
  <si>
    <t>Epic Chest (Arena 11)</t>
  </si>
  <si>
    <t>Arena 12 (Spooky Town)</t>
  </si>
  <si>
    <t>Legendary King's Chest (Arena 12)</t>
  </si>
  <si>
    <t>Arena 13 (Rascal's Hideout)</t>
  </si>
  <si>
    <t>Lightning Chest (Arena 13)</t>
  </si>
  <si>
    <t>Giant Chest (Arena 13)</t>
  </si>
  <si>
    <t>Arena 14 (Serenity Peak)</t>
  </si>
  <si>
    <t>Legendary Wild Card</t>
  </si>
  <si>
    <t>Arena 15 (Legendary Arena)</t>
  </si>
  <si>
    <t>Upon reaching a new Arena for the first time, you are given a 24 h Chest Speed Up Boost that halves the unlock time of your chests.</t>
  </si>
  <si>
    <t>Where there are two items for a particular trophy milestone, you have a choice of one or the other.</t>
  </si>
  <si>
    <t>Season Rewards (5000 trophies and above)</t>
  </si>
  <si>
    <t>League 1 (Challenger I)</t>
  </si>
  <si>
    <t>Epic Trade Token</t>
  </si>
  <si>
    <t>League 2 (Challenger II)</t>
  </si>
  <si>
    <t>Common Trade Token</t>
  </si>
  <si>
    <t>League 3 (Challenger III)</t>
  </si>
  <si>
    <t>League 4 (Master I)</t>
  </si>
  <si>
    <t>Rare Trade Token</t>
  </si>
  <si>
    <t>League 5 (Master II)</t>
  </si>
  <si>
    <t>Legendary Trade Token</t>
  </si>
  <si>
    <t>League 6 (Master III)</t>
  </si>
  <si>
    <t>League 7 (Champion)</t>
  </si>
  <si>
    <t>League 8 (Grand Champion)</t>
  </si>
  <si>
    <t>League 9 (Royal Champion)</t>
  </si>
  <si>
    <t>Magic Coin</t>
  </si>
  <si>
    <t>League 10 (Ultimate Champion)</t>
  </si>
  <si>
    <t>Upon reaching a new League for the first time in a Season, you are given a 24 h Chest Speed Up Boost that halves the unlock time of your chests.</t>
  </si>
  <si>
    <t>*The amount of cards given is dependent on the rarity of the card. The rarity of both choice cards are the same. For Commons, 500 are given. For Rares, 50 are given. For Epics, 5 are given.</t>
  </si>
  <si>
    <t>Arena Information</t>
  </si>
  <si>
    <t>Arena Number</t>
  </si>
  <si>
    <t>Arena Name</t>
  </si>
  <si>
    <t>Promotion Trophies</t>
  </si>
  <si>
    <t>Average Trophy Loss per Defeat</t>
  </si>
  <si>
    <t>Victory Gold</t>
  </si>
  <si>
    <t>Common Cards per Request</t>
  </si>
  <si>
    <t>Rare Cards per Request</t>
  </si>
  <si>
    <t>Epic Cards per Request</t>
  </si>
  <si>
    <t>Common Cards per Donation</t>
  </si>
  <si>
    <t>Rare Cards per Donation</t>
  </si>
  <si>
    <t>Epic Cards per Donation</t>
  </si>
  <si>
    <t>Daily Donation Limit</t>
  </si>
  <si>
    <t>see below</t>
  </si>
  <si>
    <t>Victory Gold can only be received up to 20 times a day. Once you reach a new Arena, you cannot drop below the promotion trophies for that Arena.</t>
  </si>
  <si>
    <t>The actual amount of trophies lost after every match is dependent on the difference in trophy count between you and your opponent.</t>
  </si>
  <si>
    <t>League Information</t>
  </si>
  <si>
    <t>League Number</t>
  </si>
  <si>
    <t>League Name</t>
  </si>
  <si>
    <t>Season Trophy Reset</t>
  </si>
  <si>
    <t>Challenger I</t>
  </si>
  <si>
    <t>Challenger II</t>
  </si>
  <si>
    <t>Challenger III</t>
  </si>
  <si>
    <t>Master I</t>
  </si>
  <si>
    <t>Master II</t>
  </si>
  <si>
    <t>Master III</t>
  </si>
  <si>
    <t>Champion</t>
  </si>
  <si>
    <t>Grand Champion</t>
  </si>
  <si>
    <t>Royal Champion</t>
  </si>
  <si>
    <t>Ultimate Champion</t>
  </si>
  <si>
    <t>Victory Gold can only be received up to 20 times a day. Unlike Arenas, you will drop to a lower League if you fall below the promotion trophies for that League.</t>
  </si>
  <si>
    <t>Season Trophy Reset refers to the percentage of trophies above 5000 that will be lost at the end of every Season.</t>
  </si>
  <si>
    <t>Clan League Information</t>
  </si>
  <si>
    <t>League</t>
  </si>
  <si>
    <t>War Trophies</t>
  </si>
  <si>
    <t>Trophy Gain* (1st)</t>
  </si>
  <si>
    <t>Trophy Gain* (2nd)</t>
  </si>
  <si>
    <t>Trophy Gain* (3rd)</t>
  </si>
  <si>
    <t>Trophy Gain* (4th)</t>
  </si>
  <si>
    <t>Trophy Gain* (5th)</t>
  </si>
  <si>
    <t>Bronze I</t>
  </si>
  <si>
    <t>Bronze II</t>
  </si>
  <si>
    <t>Bronze III</t>
  </si>
  <si>
    <t>Silver I</t>
  </si>
  <si>
    <t>Silver II</t>
  </si>
  <si>
    <t>Silver III</t>
  </si>
  <si>
    <t>Gold I</t>
  </si>
  <si>
    <t>Gold II</t>
  </si>
  <si>
    <t>Gold III</t>
  </si>
  <si>
    <t>Legendary I</t>
  </si>
  <si>
    <t>Legendary II</t>
  </si>
  <si>
    <t>Legendary III</t>
  </si>
  <si>
    <t>*The amount shown is the trophy gain for a River Race. The trophy gain for the Clan War Colosseum is 5 times that of a River Race for the respective position.</t>
  </si>
  <si>
    <t>Seasons</t>
  </si>
  <si>
    <t>Season Number</t>
  </si>
  <si>
    <t>Season Name</t>
  </si>
  <si>
    <t>Tower Skin</t>
  </si>
  <si>
    <t>Month</t>
  </si>
  <si>
    <t>The Flood</t>
  </si>
  <si>
    <t>Fisherman's Float</t>
  </si>
  <si>
    <t>Shark Tank</t>
  </si>
  <si>
    <t>Shipwrecked!</t>
  </si>
  <si>
    <t>Shipwreck Island</t>
  </si>
  <si>
    <t>Sandcastle</t>
  </si>
  <si>
    <t>Be Legendary</t>
  </si>
  <si>
    <t>Fortress</t>
  </si>
  <si>
    <t>Shocktober</t>
  </si>
  <si>
    <t>Shocktober Arena</t>
  </si>
  <si>
    <t>Jack-o'-lantern</t>
  </si>
  <si>
    <t>Great Goblin Feast</t>
  </si>
  <si>
    <t>Goblin-gendary Arena</t>
  </si>
  <si>
    <t>Party Hut</t>
  </si>
  <si>
    <t>Clashmas</t>
  </si>
  <si>
    <t>Clashmas Arena</t>
  </si>
  <si>
    <t>Lunar Festival</t>
  </si>
  <si>
    <t>Lunar Lantern</t>
  </si>
  <si>
    <t>Return to Legendary</t>
  </si>
  <si>
    <t>Log-endary</t>
  </si>
  <si>
    <t>Birthday Royale</t>
  </si>
  <si>
    <t>Birthday Battlefield</t>
  </si>
  <si>
    <t>Fondant Fortress</t>
  </si>
  <si>
    <t>The Heist</t>
  </si>
  <si>
    <t>Forest Gang Hideout</t>
  </si>
  <si>
    <t>Treehouse</t>
  </si>
  <si>
    <t>Here Be Dragons</t>
  </si>
  <si>
    <t>Dragon Spa</t>
  </si>
  <si>
    <t>Dragon</t>
  </si>
  <si>
    <t>Prince's Dream</t>
  </si>
  <si>
    <t>The Arena of Dreams</t>
  </si>
  <si>
    <t>The Tower of Dreams</t>
  </si>
  <si>
    <t>Beach Battle</t>
  </si>
  <si>
    <t>Tropical Turret</t>
  </si>
  <si>
    <t>Prepare For War!</t>
  </si>
  <si>
    <t>Mega Knight's Mega</t>
  </si>
  <si>
    <t>Set Sail For War</t>
  </si>
  <si>
    <t>Colossal Castle</t>
  </si>
  <si>
    <t>Supercharged Electro Valley</t>
  </si>
  <si>
    <t>Electro</t>
  </si>
  <si>
    <t>Treasures of the Old King</t>
  </si>
  <si>
    <t>Royal Tomb</t>
  </si>
  <si>
    <t>Ghostly Treasure</t>
  </si>
  <si>
    <t>Logmas</t>
  </si>
  <si>
    <t>Logmas Arena</t>
  </si>
  <si>
    <t>Clashmas Sled</t>
  </si>
  <si>
    <t>Stay Cool</t>
  </si>
  <si>
    <t>Frozen</t>
  </si>
  <si>
    <t>The Forbidden Palace</t>
  </si>
  <si>
    <t>Forbidden Palace</t>
  </si>
  <si>
    <t>Birthday Card</t>
  </si>
  <si>
    <t>Golden Dragon Spa</t>
  </si>
  <si>
    <t>Thermal Baths</t>
  </si>
  <si>
    <t>Rumble in the Jungle</t>
  </si>
  <si>
    <t>Goblin Temple</t>
  </si>
  <si>
    <t>Clan Permissions</t>
  </si>
  <si>
    <t>Rank</t>
  </si>
  <si>
    <t>Invite</t>
  </si>
  <si>
    <t>Kick</t>
  </si>
  <si>
    <t>Accept Join Request</t>
  </si>
  <si>
    <t>Send Mail</t>
  </si>
  <si>
    <t>Change Clan Settings</t>
  </si>
  <si>
    <t>Start War</t>
  </si>
  <si>
    <t>Nudge</t>
  </si>
  <si>
    <t>Be Promoted to Leader</t>
  </si>
  <si>
    <t>Promote to Own Rank</t>
  </si>
  <si>
    <t>Member</t>
  </si>
  <si>
    <t>Elder</t>
  </si>
  <si>
    <t>Co-Leader</t>
  </si>
  <si>
    <t>Leader</t>
  </si>
  <si>
    <t>Magic Item Inventory Limits</t>
  </si>
  <si>
    <t>Chest Key</t>
  </si>
  <si>
    <t>The Inventory Limit for the Book of Cards, Book of Books and Magic Coin is 1 for all King Levels.</t>
  </si>
  <si>
    <t>To use this calculator, please make a copy of this sheet (using simple copy/paste, or by copying/downloading the whole spreadsheet).</t>
  </si>
  <si>
    <t>Enter the base level specifications to automatically generate values for subsequent levels. Fill in only shaded cells.</t>
  </si>
  <si>
    <t>Common Cards</t>
  </si>
  <si>
    <t>Hit Speed (in s):</t>
  </si>
  <si>
    <t>DPS</t>
  </si>
  <si>
    <t>Rare Cards</t>
  </si>
  <si>
    <t>Epic Cards</t>
  </si>
  <si>
    <t>Legendary Cards</t>
  </si>
  <si>
    <t>Unit to be balanced</t>
  </si>
  <si>
    <t>Hitpoints before change</t>
  </si>
  <si>
    <t>Damage before change</t>
  </si>
  <si>
    <t>Hitpoints after change</t>
  </si>
  <si>
    <t>Damage after change</t>
  </si>
  <si>
    <t>Hitpoint change</t>
  </si>
  <si>
    <t>Damage change</t>
  </si>
  <si>
    <t>Targets*</t>
  </si>
  <si>
    <t>Transport**</t>
  </si>
  <si>
    <t>base level***</t>
  </si>
  <si>
    <t>GA</t>
  </si>
  <si>
    <t>G</t>
  </si>
  <si>
    <t>*For targets, enter 'G' for ground, 'GA' for air &amp; ground, or 'B' for buildings only.</t>
  </si>
  <si>
    <t>**For transport, enter 'G' for ground, 'A' for air, or 'B' if the unit is a building.</t>
  </si>
  <si>
    <t>***Base level is the lowest possible level of the card (1 for commons, 3 for rares, 6 for epics and 9 for legendaries).</t>
  </si>
  <si>
    <t>Only fill in coloured cells above (rarity included). Filling in any other cells may result in the loss of essential formulae.</t>
  </si>
  <si>
    <t>Number of hits required for the following units to eliminate above unit</t>
  </si>
  <si>
    <t>Number of hits required for above unit to eliminate following units</t>
  </si>
  <si>
    <t>Unit</t>
  </si>
  <si>
    <t>Hits required before change</t>
  </si>
  <si>
    <t>Hits required after change</t>
  </si>
  <si>
    <t>Net change</t>
  </si>
  <si>
    <t>Transport</t>
  </si>
  <si>
    <t>B</t>
  </si>
  <si>
    <t>A</t>
  </si>
  <si>
    <t>One-time damage interaction changes for unit to be balanced</t>
  </si>
  <si>
    <t>One-time damage</t>
  </si>
  <si>
    <t>Remaining HP before change</t>
  </si>
  <si>
    <t>Remaining HP after change</t>
  </si>
  <si>
    <t>Ice Golem Death</t>
  </si>
  <si>
    <t>Golemite Death</t>
  </si>
  <si>
    <t>Electro Wizard Spawn</t>
  </si>
  <si>
    <t>Golem Death</t>
  </si>
  <si>
    <t>Battle Ram Charge</t>
  </si>
  <si>
    <t>Mega Knight Spawn</t>
  </si>
  <si>
    <t>Last updated to reflect the update on 1 Jul 2019.</t>
  </si>
  <si>
    <t>Enter values only in the shaded cells. 'Steps' are tables for you to enter values. 'Calculation Tables' perform calculations based on what you have entered in the 'steps'. 'Results' are the results of the calculations.</t>
  </si>
  <si>
    <t>Step 1: Enter your Arena, League, Clan League and Season Highest Trophies. For Clan League, enter 1 for Bronze, 2 for Silver, 3 for Gold and 4 for Legendary. Leave the League and Season Highest Trophies fields blank if you are below 4000 trophies. Leave the Clan League field blank if you are not in a Clan. This table accepts only integer values.</t>
  </si>
  <si>
    <t>Clan League</t>
  </si>
  <si>
    <t>Season Highest Trophies</t>
  </si>
  <si>
    <t>Step 2: Enter the following parameters which indicate your activity in the game. This table accepts decimal values in addition to integer values.</t>
  </si>
  <si>
    <t>Chest Time / day</t>
  </si>
  <si>
    <t>Quest Completion Rate</t>
  </si>
  <si>
    <t>Common Requests / week</t>
  </si>
  <si>
    <t>Rare Requests / week</t>
  </si>
  <si>
    <t>Epic Requests / week</t>
  </si>
  <si>
    <t>Daily Login Rate</t>
  </si>
  <si>
    <t>Wars / season</t>
  </si>
  <si>
    <t>Battles / day</t>
  </si>
  <si>
    <t>Crown Tiers Completed / week</t>
  </si>
  <si>
    <t>Daily Gifts Collected / day</t>
  </si>
  <si>
    <t>Common Donations / week</t>
  </si>
  <si>
    <t>Rare Donations / week</t>
  </si>
  <si>
    <t>Epic Donations / week</t>
  </si>
  <si>
    <t>War Season Participation Rate</t>
  </si>
  <si>
    <t>Chest Time / day refers to the number of hours in a day (out of 24) that are used productively to open chests.</t>
  </si>
  <si>
    <t>Quest Completion Rate is the proportion of days (between 0 and 1 inclusive) where you complete your quest (excludes daily gifts). For example, if you complete 7 quests in 10 days, your Quest Completion Rate is 0.7.</t>
  </si>
  <si>
    <t>Common Requests / week, Rare Requests / week and Epic Requests / week refer to the number of TIMES you request in a week, not the number of cards requested.</t>
  </si>
  <si>
    <t>Daily Login Rate is the proportion of days (between 0 and 1 inclusive) where you log into the game and check the Shop for free gifts.</t>
  </si>
  <si>
    <t>Wars / season refers to the number of Wars participated in during a Clan War season when you do participate in the season (max 7). If you do not do Clan Wars at all, enter '0' into this field.</t>
  </si>
  <si>
    <t>Crown Tiers Completed / week is the average number of season tiers completed per week (max 7).</t>
  </si>
  <si>
    <t>War Season Participation Rate refers to the proportion of war seasons in which you participate in at least one war and get the season chest. If you do not do Clan Wars at all, enter '0' into this field.</t>
  </si>
  <si>
    <t>Calculation Table 1: The table below performs calculations based on what you have entered above. Do not enter anything into this table.</t>
  </si>
  <si>
    <t>Income Source</t>
  </si>
  <si>
    <t>Cycle Period (days)</t>
  </si>
  <si>
    <t>Silver Chest</t>
  </si>
  <si>
    <t>Golden Chest</t>
  </si>
  <si>
    <t>Magical Chest</t>
  </si>
  <si>
    <t>Giant Chest</t>
  </si>
  <si>
    <t>Crown Chest</t>
  </si>
  <si>
    <t>Free Chest</t>
  </si>
  <si>
    <t>Mega Lightning Chest</t>
  </si>
  <si>
    <t>Lightning Chest</t>
  </si>
  <si>
    <t>Legendary King's Chest</t>
  </si>
  <si>
    <t>Commons</t>
  </si>
  <si>
    <t>Rares</t>
  </si>
  <si>
    <t>Epics</t>
  </si>
  <si>
    <t>Legendaries</t>
  </si>
  <si>
    <t>XP</t>
  </si>
  <si>
    <t>Regular Battles</t>
  </si>
  <si>
    <t>Quests</t>
  </si>
  <si>
    <t>Daily Gift</t>
  </si>
  <si>
    <t>Card Requests</t>
  </si>
  <si>
    <t>Season Trophy Road</t>
  </si>
  <si>
    <t>Shop</t>
  </si>
  <si>
    <t>Clan Wars</t>
  </si>
  <si>
    <t>Card Donations</t>
  </si>
  <si>
    <t>Calculation Table 2: The table below shows the relevant chest information for your Arena. Do not enter anything into this table.</t>
  </si>
  <si>
    <t>No. of cards</t>
  </si>
  <si>
    <t>Rare factor</t>
  </si>
  <si>
    <t>Epic factor</t>
  </si>
  <si>
    <t>Legendary factor</t>
  </si>
  <si>
    <t>Results: The table below shows your daily income by source.</t>
  </si>
  <si>
    <t>Total Income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</si>
</sst>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 mmm yyyy"/>
    <numFmt numFmtId="165" formatCode="d mmmm yyyy"/>
    <numFmt numFmtId="166" formatCode="#,##0.000"/>
    <numFmt numFmtId="167" formatCode="#,##0.00000"/>
    <numFmt numFmtId="168" formatCode="0.0"/>
    <numFmt numFmtId="169" formatCode="mmmm yyyy"/>
  </numFmts>
  <fonts count="23">
    <font>
      <sz val="10.0"/>
      <color rgb="FF000000"/>
      <name val="Arial"/>
    </font>
    <font>
      <b/>
      <sz val="56.0"/>
      <color rgb="FF38761D"/>
      <name val="Courier New"/>
    </font>
    <font/>
    <font>
      <sz val="17.0"/>
      <color rgb="FF0B5394"/>
      <name val="Courier New"/>
    </font>
    <font>
      <b/>
    </font>
    <font>
      <u/>
      <color rgb="FF0000FF"/>
    </font>
    <font>
      <b/>
      <i/>
    </font>
    <font>
      <color rgb="FFFFFFFF"/>
    </font>
    <font>
      <sz val="11.0"/>
    </font>
    <font>
      <i/>
    </font>
    <font>
      <name val="Arial"/>
    </font>
    <font>
      <b/>
      <i/>
      <color rgb="FFFFFFFF"/>
    </font>
    <font>
      <color rgb="FF000000"/>
    </font>
    <font>
      <b/>
      <color rgb="FF000000"/>
    </font>
    <font>
      <b/>
      <color rgb="FFFFFFFF"/>
    </font>
    <font>
      <b/>
      <name val="Arial"/>
    </font>
    <font>
      <b/>
      <i/>
      <name val="Arial"/>
    </font>
    <font>
      <color rgb="FFFFFFFF"/>
      <name val="Arial"/>
    </font>
    <font>
      <b/>
      <color rgb="FF434343"/>
    </font>
    <font>
      <b/>
      <color rgb="FFFF9900"/>
      <name val="Arial"/>
    </font>
    <font>
      <b/>
      <color rgb="FF9900FF"/>
      <name val="Arial"/>
    </font>
    <font>
      <b/>
      <color rgb="FF00FF80"/>
      <name val="Arial"/>
    </font>
    <font>
      <color rgb="FF000000"/>
      <name val="Arial"/>
    </font>
  </fonts>
  <fills count="22">
    <fill>
      <patternFill patternType="none"/>
    </fill>
    <fill>
      <patternFill patternType="lightGray"/>
    </fill>
    <fill>
      <patternFill patternType="solid">
        <fgColor rgb="FF434343"/>
        <bgColor rgb="FF434343"/>
      </patternFill>
    </fill>
    <fill>
      <patternFill patternType="solid">
        <fgColor rgb="FFFF9900"/>
        <bgColor rgb="FFFF9900"/>
      </patternFill>
    </fill>
    <fill>
      <patternFill patternType="solid">
        <fgColor rgb="FF9900FF"/>
        <bgColor rgb="FF9900FF"/>
      </patternFill>
    </fill>
    <fill>
      <patternFill patternType="solid">
        <fgColor rgb="FF00FF80"/>
        <bgColor rgb="FF00FF80"/>
      </patternFill>
    </fill>
    <fill>
      <patternFill patternType="solid">
        <fgColor rgb="FFFFFFFF"/>
        <bgColor rgb="FFFFFFFF"/>
      </patternFill>
    </fill>
    <fill>
      <patternFill patternType="solid">
        <fgColor rgb="FF999999"/>
        <bgColor rgb="FF999999"/>
      </patternFill>
    </fill>
    <fill>
      <patternFill patternType="solid">
        <fgColor rgb="FF666666"/>
        <bgColor rgb="FF666666"/>
      </patternFill>
    </fill>
    <fill>
      <patternFill patternType="solid">
        <fgColor rgb="FFF6B26B"/>
        <bgColor rgb="FFF6B26B"/>
      </patternFill>
    </fill>
    <fill>
      <patternFill patternType="solid">
        <fgColor rgb="FF93C47D"/>
        <bgColor rgb="FF93C47D"/>
      </patternFill>
    </fill>
    <fill>
      <patternFill patternType="solid">
        <fgColor rgb="FF8E7CC3"/>
        <bgColor rgb="FF8E7CC3"/>
      </patternFill>
    </fill>
    <fill>
      <patternFill patternType="solid">
        <fgColor rgb="FFB45F06"/>
        <bgColor rgb="FFB45F06"/>
      </patternFill>
    </fill>
    <fill>
      <patternFill patternType="solid">
        <fgColor rgb="FFBF9000"/>
        <bgColor rgb="FFBF9000"/>
      </patternFill>
    </fill>
    <fill>
      <patternFill patternType="solid">
        <fgColor rgb="FFF1C232"/>
        <bgColor rgb="FFF1C232"/>
      </patternFill>
    </fill>
    <fill>
      <patternFill patternType="solid">
        <fgColor rgb="FF6AA84F"/>
        <bgColor rgb="FF6AA84F"/>
      </patternFill>
    </fill>
    <fill>
      <patternFill patternType="solid">
        <fgColor rgb="FF783F04"/>
        <bgColor rgb="FF783F04"/>
      </patternFill>
    </fill>
    <fill>
      <patternFill patternType="solid">
        <fgColor rgb="FFFF00FF"/>
        <bgColor rgb="FFFF00FF"/>
      </patternFill>
    </fill>
    <fill>
      <patternFill patternType="solid">
        <fgColor rgb="FFCCCCCC"/>
        <bgColor rgb="FFCCCCCC"/>
      </patternFill>
    </fill>
    <fill>
      <patternFill patternType="solid">
        <fgColor rgb="FF76A5AF"/>
        <bgColor rgb="FF76A5AF"/>
      </patternFill>
    </fill>
    <fill>
      <patternFill patternType="solid">
        <fgColor rgb="FFD9D9D9"/>
        <bgColor rgb="FFD9D9D9"/>
      </patternFill>
    </fill>
    <fill>
      <patternFill patternType="solid">
        <fgColor rgb="FF00FFFF"/>
        <bgColor rgb="FF00FFFF"/>
      </patternFill>
    </fill>
  </fills>
  <borders count="1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bottom style="thin">
        <color rgb="FF000000"/>
      </bottom>
    </border>
    <border>
      <right/>
    </border>
  </borders>
  <cellStyleXfs count="1">
    <xf borderId="0" fillId="0" fontId="0" numFmtId="0" applyAlignment="1" applyFont="1"/>
  </cellStyleXfs>
  <cellXfs count="30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shrinkToFit="0" vertical="center" wrapText="1"/>
    </xf>
    <xf borderId="0" fillId="0" fontId="3"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4" numFmtId="0" xfId="0" applyAlignment="1" applyFont="1">
      <alignment readingOrder="0" shrinkToFit="0" vertical="center" wrapText="1"/>
    </xf>
    <xf borderId="0" fillId="0" fontId="2" numFmtId="0" xfId="0" applyAlignment="1" applyFont="1">
      <alignment readingOrder="0" shrinkToFit="0" vertical="center" wrapText="0"/>
    </xf>
    <xf borderId="0" fillId="0" fontId="2" numFmtId="0" xfId="0" applyAlignment="1" applyFont="1">
      <alignment readingOrder="0"/>
    </xf>
    <xf borderId="0" fillId="0" fontId="5" numFmtId="0" xfId="0" applyAlignment="1" applyFont="1">
      <alignment readingOrder="0" shrinkToFit="0" vertical="center" wrapText="1"/>
    </xf>
    <xf borderId="0" fillId="0" fontId="4" numFmtId="0" xfId="0" applyAlignment="1" applyFont="1">
      <alignment horizontal="center" readingOrder="0" vertical="center"/>
    </xf>
    <xf borderId="0" fillId="0" fontId="2" numFmtId="0" xfId="0" applyAlignment="1" applyFont="1">
      <alignment horizontal="center" vertical="center"/>
    </xf>
    <xf borderId="1" fillId="0" fontId="4" numFmtId="0" xfId="0" applyAlignment="1" applyBorder="1" applyFont="1">
      <alignment horizontal="center" readingOrder="0" vertical="center"/>
    </xf>
    <xf borderId="1" fillId="0" fontId="6" numFmtId="0" xfId="0" applyAlignment="1" applyBorder="1" applyFont="1">
      <alignment horizontal="center" readingOrder="0" vertical="center"/>
    </xf>
    <xf borderId="2" fillId="0" fontId="6" numFmtId="0" xfId="0" applyAlignment="1" applyBorder="1" applyFont="1">
      <alignment horizontal="center" readingOrder="0" vertical="center"/>
    </xf>
    <xf borderId="3" fillId="0" fontId="2" numFmtId="0" xfId="0" applyBorder="1" applyFont="1"/>
    <xf borderId="4" fillId="0" fontId="2" numFmtId="0" xfId="0" applyBorder="1" applyFont="1"/>
    <xf borderId="5" fillId="0" fontId="2" numFmtId="0" xfId="0" applyAlignment="1" applyBorder="1" applyFont="1">
      <alignment horizontal="center" readingOrder="0" vertical="center"/>
    </xf>
    <xf borderId="5" fillId="2" fontId="7" numFmtId="0" xfId="0" applyAlignment="1" applyBorder="1" applyFill="1" applyFon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6" fillId="0" fontId="2" numFmtId="0" xfId="0" applyAlignment="1" applyBorder="1" applyFont="1">
      <alignment horizontal="center" readingOrder="0" vertical="center"/>
    </xf>
    <xf borderId="7" fillId="0" fontId="2" numFmtId="0" xfId="0" applyBorder="1" applyFont="1"/>
    <xf borderId="8" fillId="0" fontId="2" numFmtId="0" xfId="0" applyBorder="1" applyFont="1"/>
    <xf borderId="5" fillId="0" fontId="8" numFmtId="0" xfId="0" applyAlignment="1" applyBorder="1" applyFont="1">
      <alignment horizontal="center" readingOrder="0" vertical="center"/>
    </xf>
    <xf borderId="0" fillId="0" fontId="2" numFmtId="0" xfId="0" applyAlignment="1" applyFont="1">
      <alignment horizontal="center" readingOrder="0" vertical="center"/>
    </xf>
    <xf borderId="6" fillId="0" fontId="2" numFmtId="0" xfId="0" applyAlignment="1" applyBorder="1" applyFont="1">
      <alignment horizontal="center" vertical="center"/>
    </xf>
    <xf borderId="1" fillId="0" fontId="2" numFmtId="0" xfId="0" applyAlignment="1" applyBorder="1" applyFont="1">
      <alignment horizontal="center" shrinkToFit="0" vertical="center" wrapText="1"/>
    </xf>
    <xf borderId="5" fillId="3" fontId="7" numFmtId="0" xfId="0" applyAlignment="1" applyBorder="1" applyFill="1" applyFont="1">
      <alignment horizontal="center" readingOrder="0" vertical="center"/>
    </xf>
    <xf borderId="2" fillId="0" fontId="2" numFmtId="0" xfId="0" applyAlignment="1" applyBorder="1" applyFont="1">
      <alignment horizontal="center" readingOrder="0" vertical="center"/>
    </xf>
    <xf borderId="2" fillId="0" fontId="2" numFmtId="0" xfId="0" applyAlignment="1" applyBorder="1" applyFont="1">
      <alignment horizontal="center" vertical="center"/>
    </xf>
    <xf borderId="5" fillId="4" fontId="7" numFmtId="0" xfId="0" applyAlignment="1" applyBorder="1" applyFill="1" applyFont="1">
      <alignment horizontal="center" readingOrder="0" vertical="center"/>
    </xf>
    <xf borderId="1" fillId="0" fontId="2" numFmtId="0" xfId="0" applyAlignment="1" applyBorder="1" applyFont="1">
      <alignment horizontal="center" readingOrder="0" shrinkToFit="0" vertical="center" wrapText="0"/>
    </xf>
    <xf borderId="1" fillId="0" fontId="2" numFmtId="0" xfId="0" applyAlignment="1" applyBorder="1" applyFont="1">
      <alignment horizontal="center" readingOrder="0" vertical="center"/>
    </xf>
    <xf borderId="5" fillId="2" fontId="7" numFmtId="0" xfId="0" applyAlignment="1" applyBorder="1" applyFont="1">
      <alignment horizontal="center" readingOrder="0" vertical="center"/>
    </xf>
    <xf borderId="5" fillId="3" fontId="7" numFmtId="0" xfId="0" applyAlignment="1" applyBorder="1" applyFont="1">
      <alignment horizontal="center" readingOrder="0" vertical="center"/>
    </xf>
    <xf borderId="5" fillId="5" fontId="7" numFmtId="0" xfId="0" applyAlignment="1" applyBorder="1" applyFill="1" applyFont="1">
      <alignment horizontal="center" readingOrder="0" vertical="center"/>
    </xf>
    <xf borderId="5" fillId="0" fontId="2" numFmtId="0" xfId="0" applyAlignment="1" applyBorder="1" applyFont="1">
      <alignment horizontal="center" readingOrder="0" shrinkToFit="0" vertical="center" wrapText="0"/>
    </xf>
    <xf borderId="5" fillId="5" fontId="7" numFmtId="0" xfId="0" applyAlignment="1" applyBorder="1" applyFont="1">
      <alignment horizontal="center" readingOrder="0" vertical="center"/>
    </xf>
    <xf borderId="2" fillId="0" fontId="4" numFmtId="0" xfId="0" applyAlignment="1" applyBorder="1" applyFont="1">
      <alignment horizontal="center" readingOrder="0" vertical="center"/>
    </xf>
    <xf borderId="5" fillId="4" fontId="7" numFmtId="0" xfId="0" applyAlignment="1" applyBorder="1" applyFont="1">
      <alignment horizontal="center" readingOrder="0" vertical="center"/>
    </xf>
    <xf borderId="5" fillId="0" fontId="9" numFmtId="0" xfId="0" applyAlignment="1" applyBorder="1" applyFont="1">
      <alignment horizontal="center" readingOrder="0" vertical="center"/>
    </xf>
    <xf borderId="1" fillId="0" fontId="10" numFmtId="0" xfId="0" applyAlignment="1" applyBorder="1" applyFont="1">
      <alignment horizontal="center" readingOrder="0"/>
    </xf>
    <xf borderId="8" fillId="0" fontId="10" numFmtId="0" xfId="0" applyAlignment="1" applyBorder="1" applyFont="1">
      <alignment horizontal="center" readingOrder="0"/>
    </xf>
    <xf borderId="5" fillId="0" fontId="2" numFmtId="0" xfId="0" applyAlignment="1" applyBorder="1" applyFont="1">
      <alignment horizontal="center" readingOrder="0" shrinkToFit="0" vertical="center" wrapText="1"/>
    </xf>
    <xf borderId="5" fillId="0" fontId="2" numFmtId="9" xfId="0" applyAlignment="1" applyBorder="1" applyFont="1" applyNumberFormat="1">
      <alignment horizontal="center" readingOrder="0" vertical="center"/>
    </xf>
    <xf borderId="5" fillId="0" fontId="2" numFmtId="0" xfId="0" applyAlignment="1" applyBorder="1" applyFont="1">
      <alignment horizontal="center" readingOrder="0" vertical="center"/>
    </xf>
    <xf quotePrefix="1" borderId="5" fillId="0" fontId="2" numFmtId="49" xfId="0" applyAlignment="1" applyBorder="1" applyFont="1" applyNumberFormat="1">
      <alignment horizontal="center" readingOrder="0" vertical="center"/>
    </xf>
    <xf borderId="9" fillId="0" fontId="2" numFmtId="0" xfId="0" applyAlignment="1" applyBorder="1" applyFont="1">
      <alignment horizontal="center" readingOrder="0" vertical="center"/>
    </xf>
    <xf borderId="10" fillId="0" fontId="2" numFmtId="0" xfId="0" applyBorder="1" applyFont="1"/>
    <xf borderId="11" fillId="0" fontId="2" numFmtId="0" xfId="0" applyBorder="1" applyFont="1"/>
    <xf borderId="6"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0" fillId="0" fontId="2" numFmtId="0" xfId="0" applyAlignment="1" applyFont="1">
      <alignment horizontal="center" readingOrder="0" vertical="center"/>
    </xf>
    <xf borderId="0" fillId="0" fontId="2" numFmtId="0" xfId="0" applyAlignment="1" applyFont="1">
      <alignment horizontal="left" readingOrder="0" shrinkToFit="0" vertical="center" wrapText="0"/>
    </xf>
    <xf borderId="0" fillId="0" fontId="2" numFmtId="0" xfId="0" applyAlignment="1" applyFont="1">
      <alignment horizontal="center" shrinkToFit="0" vertical="center" wrapText="1"/>
    </xf>
    <xf borderId="14" fillId="0" fontId="4"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8" fillId="2" fontId="11"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8" fillId="6" fontId="12" numFmtId="0" xfId="0" applyAlignment="1" applyBorder="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2" fontId="11" numFmtId="0" xfId="0" applyAlignment="1" applyBorder="1" applyFont="1">
      <alignment horizontal="center" readingOrder="0" shrinkToFit="0" vertical="center" wrapText="1"/>
    </xf>
    <xf borderId="1" fillId="3" fontId="11" numFmtId="0" xfId="0" applyAlignment="1" applyBorder="1" applyFont="1">
      <alignment horizontal="center" readingOrder="0" shrinkToFit="0" vertical="center" wrapText="1"/>
    </xf>
    <xf borderId="1" fillId="6" fontId="12" numFmtId="0" xfId="0" applyAlignment="1" applyBorder="1" applyFont="1">
      <alignment horizontal="center" readingOrder="0" shrinkToFit="0" vertical="center" wrapText="1"/>
    </xf>
    <xf borderId="1" fillId="6" fontId="12" numFmtId="0" xfId="0" applyAlignment="1" applyBorder="1" applyFont="1">
      <alignment horizontal="center" shrinkToFit="0" vertical="center" wrapText="1"/>
    </xf>
    <xf borderId="0" fillId="6" fontId="12" numFmtId="0" xfId="0" applyAlignment="1" applyFont="1">
      <alignment horizontal="center" readingOrder="0" shrinkToFit="0" vertical="center" wrapText="1"/>
    </xf>
    <xf borderId="0" fillId="6" fontId="12" numFmtId="0" xfId="0" applyAlignment="1" applyFont="1">
      <alignment horizontal="center" shrinkToFit="0" vertical="center" wrapText="1"/>
    </xf>
    <xf borderId="0" fillId="6" fontId="13" numFmtId="0" xfId="0" applyAlignment="1" applyFont="1">
      <alignment horizontal="center" shrinkToFit="0" vertical="center" wrapText="1"/>
    </xf>
    <xf borderId="1" fillId="6" fontId="12"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1" fillId="4" fontId="11" numFmtId="0" xfId="0" applyAlignment="1" applyBorder="1" applyFont="1">
      <alignment horizontal="center" readingOrder="0" shrinkToFit="0" vertical="center" wrapText="1"/>
    </xf>
    <xf borderId="0" fillId="6" fontId="12" numFmtId="0" xfId="0" applyAlignment="1" applyFont="1">
      <alignment horizontal="center" readingOrder="0" shrinkToFit="0" vertical="center" wrapText="1"/>
    </xf>
    <xf borderId="1" fillId="6" fontId="12" numFmtId="0" xfId="0" applyAlignment="1" applyBorder="1" applyFont="1">
      <alignment horizontal="center" shrinkToFit="0" vertical="center" wrapText="1"/>
    </xf>
    <xf borderId="0" fillId="6" fontId="12" numFmtId="0" xfId="0" applyAlignment="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0" fontId="2" numFmtId="9" xfId="0" applyAlignment="1" applyBorder="1" applyFont="1" applyNumberFormat="1">
      <alignment horizontal="center" readingOrder="0" shrinkToFit="0" vertical="center" wrapText="1"/>
    </xf>
    <xf borderId="1" fillId="5" fontId="11" numFmtId="0" xfId="0" applyAlignment="1" applyBorder="1" applyFont="1">
      <alignment horizontal="center" readingOrder="0" shrinkToFit="0" vertical="center" wrapText="1"/>
    </xf>
    <xf quotePrefix="1" borderId="1"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textRotation="0" vertical="center" wrapText="1"/>
    </xf>
    <xf borderId="0" fillId="0" fontId="7" numFmtId="0" xfId="0" applyAlignment="1" applyFont="1">
      <alignment horizontal="center" readingOrder="0" shrinkToFit="0" vertical="center" wrapText="1"/>
    </xf>
    <xf borderId="2" fillId="7" fontId="11" numFmtId="0" xfId="0" applyAlignment="1" applyBorder="1" applyFill="1" applyFont="1">
      <alignment horizontal="center" readingOrder="0" shrinkToFit="0" vertical="center" wrapText="1"/>
    </xf>
    <xf borderId="0" fillId="0" fontId="4" numFmtId="0" xfId="0" applyFont="1"/>
    <xf borderId="0" fillId="0" fontId="2" numFmtId="0" xfId="0" applyAlignment="1" applyFont="1">
      <alignment horizontal="left" shrinkToFit="0" vertical="center" wrapText="0"/>
    </xf>
    <xf borderId="2" fillId="0" fontId="4" numFmtId="0" xfId="0" applyAlignment="1" applyBorder="1" applyFont="1">
      <alignment horizontal="center" readingOrder="0" shrinkToFit="0" vertical="center" wrapText="1"/>
    </xf>
    <xf borderId="5" fillId="0" fontId="4" numFmtId="0" xfId="0" applyAlignment="1" applyBorder="1" applyFont="1">
      <alignment horizontal="center" readingOrder="0" shrinkToFit="0" vertical="center" wrapText="1"/>
    </xf>
    <xf borderId="1" fillId="0" fontId="2" numFmtId="49" xfId="0" applyAlignment="1" applyBorder="1" applyFont="1" applyNumberFormat="1">
      <alignment horizontal="center" readingOrder="0" shrinkToFit="0" vertical="center" wrapText="1"/>
    </xf>
    <xf borderId="0" fillId="8" fontId="2" numFmtId="0" xfId="0" applyAlignment="1" applyFill="1" applyFont="1">
      <alignment horizontal="center" shrinkToFit="0" vertical="center" wrapText="1"/>
    </xf>
    <xf borderId="0" fillId="8" fontId="2" numFmtId="0" xfId="0" applyAlignment="1" applyFont="1">
      <alignment horizontal="center" readingOrder="0" shrinkToFit="0" vertical="center" wrapText="1"/>
    </xf>
    <xf borderId="1" fillId="0" fontId="2" numFmtId="164" xfId="0" applyAlignment="1" applyBorder="1" applyFont="1" applyNumberFormat="1">
      <alignment horizontal="center" readingOrder="0" shrinkToFit="0" vertical="center" wrapText="1"/>
    </xf>
    <xf borderId="0" fillId="8" fontId="2" numFmtId="0" xfId="0" applyFont="1"/>
    <xf borderId="1" fillId="0" fontId="2" numFmtId="165" xfId="0" applyAlignment="1" applyBorder="1" applyFont="1" applyNumberFormat="1">
      <alignment horizontal="center" readingOrder="0" shrinkToFit="0" vertical="center" wrapText="1"/>
    </xf>
    <xf borderId="0" fillId="0" fontId="2" numFmtId="0" xfId="0" applyAlignment="1" applyFont="1">
      <alignment horizontal="left" readingOrder="0" shrinkToFit="0" vertical="center" wrapText="1"/>
    </xf>
    <xf borderId="0" fillId="0" fontId="6" numFmtId="0" xfId="0" applyAlignment="1" applyFont="1">
      <alignment readingOrder="0"/>
    </xf>
    <xf borderId="1" fillId="0" fontId="4" numFmtId="0" xfId="0" applyAlignment="1" applyBorder="1" applyFont="1">
      <alignment horizontal="center" readingOrder="0"/>
    </xf>
    <xf borderId="1" fillId="0" fontId="2" numFmtId="0" xfId="0" applyAlignment="1" applyBorder="1" applyFont="1">
      <alignment horizontal="center" readingOrder="0"/>
    </xf>
    <xf borderId="1" fillId="0" fontId="2" numFmtId="0" xfId="0" applyAlignment="1" applyBorder="1" applyFont="1">
      <alignment horizontal="center"/>
    </xf>
    <xf borderId="1" fillId="0" fontId="2" numFmtId="0" xfId="0" applyAlignment="1" applyBorder="1" applyFont="1">
      <alignment horizontal="center"/>
    </xf>
    <xf borderId="1" fillId="0" fontId="2" numFmtId="0" xfId="0" applyAlignment="1" applyBorder="1" applyFont="1">
      <alignment horizontal="center" readingOrder="0"/>
    </xf>
    <xf borderId="1" fillId="0" fontId="2" numFmtId="0" xfId="0" applyAlignment="1" applyBorder="1" applyFont="1">
      <alignment horizontal="center" readingOrder="0" shrinkToFit="0" vertical="bottom" wrapText="0"/>
    </xf>
    <xf borderId="1" fillId="0" fontId="2" numFmtId="0" xfId="0" applyAlignment="1" applyBorder="1" applyFont="1">
      <alignment horizontal="center" readingOrder="0" shrinkToFit="0" vertical="bottom" wrapText="0"/>
    </xf>
    <xf borderId="1" fillId="0" fontId="2" numFmtId="0" xfId="0" applyAlignment="1" applyBorder="1" applyFont="1">
      <alignment horizontal="center" shrinkToFit="0" vertical="bottom" wrapText="0"/>
    </xf>
    <xf borderId="1" fillId="0" fontId="2" numFmtId="0" xfId="0" applyAlignment="1" applyBorder="1" applyFont="1">
      <alignment horizontal="center" shrinkToFit="0" vertical="bottom" wrapText="0"/>
    </xf>
    <xf borderId="1" fillId="0" fontId="4" numFmtId="0" xfId="0" applyAlignment="1" applyBorder="1" applyFont="1">
      <alignment horizontal="center" readingOrder="0" shrinkToFit="0" vertical="bottom" wrapText="0"/>
    </xf>
    <xf borderId="1" fillId="0" fontId="2" numFmtId="0" xfId="0" applyBorder="1" applyFont="1"/>
    <xf borderId="1" fillId="0" fontId="10" numFmtId="0" xfId="0" applyAlignment="1" applyBorder="1" applyFont="1">
      <alignment horizontal="center" vertical="bottom"/>
    </xf>
    <xf borderId="4" fillId="0" fontId="10" numFmtId="0" xfId="0" applyAlignment="1" applyBorder="1" applyFont="1">
      <alignment horizontal="center" vertical="bottom"/>
    </xf>
    <xf borderId="4" fillId="0" fontId="10" numFmtId="0" xfId="0" applyAlignment="1" applyBorder="1" applyFont="1">
      <alignment vertical="bottom"/>
    </xf>
    <xf borderId="8" fillId="0" fontId="10" numFmtId="0" xfId="0" applyAlignment="1" applyBorder="1" applyFont="1">
      <alignment horizontal="center" vertical="bottom"/>
    </xf>
    <xf borderId="15" fillId="0" fontId="10" numFmtId="0" xfId="0" applyAlignment="1" applyBorder="1" applyFont="1">
      <alignment horizontal="center" vertical="bottom"/>
    </xf>
    <xf borderId="15" fillId="0" fontId="10" numFmtId="0" xfId="0" applyAlignment="1" applyBorder="1" applyFont="1">
      <alignment vertical="bottom"/>
    </xf>
    <xf borderId="15" fillId="0" fontId="10" numFmtId="0" xfId="0" applyAlignment="1" applyBorder="1" applyFont="1">
      <alignment horizontal="center" vertical="bottom"/>
    </xf>
    <xf borderId="8" fillId="0" fontId="10" numFmtId="0" xfId="0" applyAlignment="1" applyBorder="1" applyFont="1">
      <alignment horizontal="center" vertical="bottom"/>
    </xf>
    <xf borderId="15" fillId="0" fontId="10" numFmtId="0" xfId="0" applyAlignment="1" applyBorder="1" applyFont="1">
      <alignment vertical="bottom"/>
    </xf>
    <xf borderId="1" fillId="0" fontId="10" numFmtId="0" xfId="0" applyAlignment="1" applyBorder="1" applyFont="1">
      <alignment horizontal="center" vertical="bottom"/>
    </xf>
    <xf borderId="4" fillId="0" fontId="10" numFmtId="0" xfId="0" applyAlignment="1" applyBorder="1" applyFont="1">
      <alignment horizontal="center" vertical="bottom"/>
    </xf>
    <xf borderId="1" fillId="0" fontId="2" numFmtId="0" xfId="0" applyAlignment="1" applyBorder="1" applyFont="1">
      <alignment horizontal="center" readingOrder="0" vertical="bottom"/>
    </xf>
    <xf borderId="1" fillId="0" fontId="2" numFmtId="0" xfId="0" applyAlignment="1" applyBorder="1" applyFont="1">
      <alignment horizontal="center" readingOrder="0" vertical="bottom"/>
    </xf>
    <xf borderId="0" fillId="0" fontId="2" numFmtId="10" xfId="0" applyFont="1" applyNumberFormat="1"/>
    <xf borderId="0" fillId="0" fontId="2" numFmtId="166" xfId="0" applyFont="1" applyNumberFormat="1"/>
    <xf borderId="0" fillId="0" fontId="2" numFmtId="167" xfId="0" applyFont="1" applyNumberFormat="1"/>
    <xf borderId="0" fillId="0" fontId="4" numFmtId="0" xfId="0" applyAlignment="1" applyFont="1">
      <alignment readingOrder="0"/>
    </xf>
    <xf borderId="1" fillId="0" fontId="4" numFmtId="10" xfId="0" applyAlignment="1" applyBorder="1" applyFont="1" applyNumberFormat="1">
      <alignment horizontal="center" readingOrder="0"/>
    </xf>
    <xf borderId="1" fillId="0" fontId="4" numFmtId="166" xfId="0" applyAlignment="1" applyBorder="1" applyFont="1" applyNumberFormat="1">
      <alignment horizontal="center" readingOrder="0"/>
    </xf>
    <xf borderId="1" fillId="0" fontId="4" numFmtId="167" xfId="0" applyAlignment="1" applyBorder="1" applyFont="1" applyNumberFormat="1">
      <alignment horizontal="center" readingOrder="0"/>
    </xf>
    <xf borderId="0" fillId="0" fontId="2" numFmtId="0" xfId="0" applyAlignment="1" applyFont="1">
      <alignment horizontal="center" readingOrder="0"/>
    </xf>
    <xf borderId="0" fillId="0" fontId="4" numFmtId="0" xfId="0" applyAlignment="1" applyFont="1">
      <alignment horizontal="left" readingOrder="0"/>
    </xf>
    <xf borderId="2" fillId="9" fontId="14" numFmtId="0" xfId="0" applyAlignment="1" applyBorder="1" applyFill="1" applyFont="1">
      <alignment horizontal="left" readingOrder="0"/>
    </xf>
    <xf borderId="0" fillId="0" fontId="2" numFmtId="0" xfId="0" applyAlignment="1" applyFont="1">
      <alignment horizontal="center"/>
    </xf>
    <xf borderId="2" fillId="0" fontId="6" numFmtId="0" xfId="0" applyAlignment="1" applyBorder="1" applyFont="1">
      <alignment horizontal="left" readingOrder="0"/>
    </xf>
    <xf borderId="1" fillId="0" fontId="2" numFmtId="10" xfId="0" applyAlignment="1" applyBorder="1" applyFont="1" applyNumberFormat="1">
      <alignment horizontal="center" readingOrder="0"/>
    </xf>
    <xf borderId="1" fillId="0" fontId="2" numFmtId="9" xfId="0" applyAlignment="1" applyBorder="1" applyFont="1" applyNumberFormat="1">
      <alignment horizontal="center" readingOrder="0"/>
    </xf>
    <xf borderId="1" fillId="0" fontId="2" numFmtId="166" xfId="0" applyAlignment="1" applyBorder="1" applyFont="1" applyNumberFormat="1">
      <alignment horizontal="center" readingOrder="0"/>
    </xf>
    <xf borderId="1" fillId="0" fontId="2" numFmtId="167" xfId="0" applyAlignment="1" applyBorder="1" applyFont="1" applyNumberFormat="1">
      <alignment horizontal="center" readingOrder="0"/>
    </xf>
    <xf borderId="1" fillId="0" fontId="2" numFmtId="166" xfId="0" applyAlignment="1" applyBorder="1" applyFont="1" applyNumberFormat="1">
      <alignment horizontal="center"/>
    </xf>
    <xf borderId="1" fillId="0" fontId="2" numFmtId="167" xfId="0" applyAlignment="1" applyBorder="1" applyFont="1" applyNumberFormat="1">
      <alignment horizontal="center"/>
    </xf>
    <xf borderId="2" fillId="10" fontId="14" numFmtId="0" xfId="0" applyAlignment="1" applyBorder="1" applyFill="1" applyFont="1">
      <alignment horizontal="left" readingOrder="0"/>
    </xf>
    <xf borderId="2" fillId="11" fontId="14" numFmtId="0" xfId="0" applyAlignment="1" applyBorder="1" applyFill="1" applyFont="1">
      <alignment horizontal="left" readingOrder="0"/>
    </xf>
    <xf borderId="0" fillId="0" fontId="4" numFmtId="0" xfId="0" applyAlignment="1" applyFont="1">
      <alignment readingOrder="0"/>
    </xf>
    <xf borderId="1" fillId="0" fontId="7" numFmtId="0" xfId="0" applyAlignment="1" applyBorder="1" applyFont="1">
      <alignment horizontal="center" readingOrder="0"/>
    </xf>
    <xf borderId="0" fillId="0" fontId="4" numFmtId="0" xfId="0" applyAlignment="1" applyFont="1">
      <alignment horizontal="center" readingOrder="0"/>
    </xf>
    <xf borderId="0" fillId="0" fontId="2" numFmtId="0" xfId="0" applyAlignment="1" applyFont="1">
      <alignment horizontal="center" readingOrder="0"/>
    </xf>
    <xf borderId="1" fillId="12" fontId="7" numFmtId="0" xfId="0" applyAlignment="1" applyBorder="1" applyFill="1" applyFont="1">
      <alignment horizontal="center" readingOrder="0"/>
    </xf>
    <xf borderId="1" fillId="12" fontId="7" numFmtId="0" xfId="0" applyAlignment="1" applyBorder="1" applyFont="1">
      <alignment horizontal="center" readingOrder="0"/>
    </xf>
    <xf borderId="0" fillId="0" fontId="2" numFmtId="0" xfId="0" applyAlignment="1" applyFont="1">
      <alignment horizontal="left" readingOrder="0" vertical="center"/>
    </xf>
    <xf borderId="0" fillId="0" fontId="2" numFmtId="168" xfId="0" applyAlignment="1" applyFont="1" applyNumberFormat="1">
      <alignment horizontal="center" readingOrder="0" vertical="center"/>
    </xf>
    <xf borderId="0" fillId="0" fontId="4" numFmtId="0" xfId="0" applyAlignment="1" applyFont="1">
      <alignment horizontal="left" readingOrder="0" vertical="center"/>
    </xf>
    <xf borderId="1" fillId="0" fontId="4" numFmtId="168" xfId="0" applyAlignment="1" applyBorder="1" applyFont="1" applyNumberFormat="1">
      <alignment horizontal="center" readingOrder="0" vertical="center"/>
    </xf>
    <xf borderId="1" fillId="0" fontId="2" numFmtId="168" xfId="0" applyAlignment="1" applyBorder="1" applyFont="1" applyNumberFormat="1">
      <alignment horizontal="center" readingOrder="0" vertical="center"/>
    </xf>
    <xf borderId="1" fillId="0" fontId="2" numFmtId="0" xfId="0" applyAlignment="1" applyBorder="1" applyFont="1">
      <alignment horizontal="center" vertical="center"/>
    </xf>
    <xf borderId="5" fillId="0" fontId="2" numFmtId="168" xfId="0" applyAlignment="1" applyBorder="1" applyFont="1" applyNumberFormat="1">
      <alignment horizontal="center" readingOrder="0" vertical="center"/>
    </xf>
    <xf borderId="5" fillId="0" fontId="2" numFmtId="0" xfId="0" applyAlignment="1" applyBorder="1" applyFont="1">
      <alignment horizontal="center" vertical="center"/>
    </xf>
    <xf borderId="10" fillId="0" fontId="2" numFmtId="0" xfId="0" applyAlignment="1" applyBorder="1" applyFont="1">
      <alignment horizontal="left" readingOrder="0" vertical="center"/>
    </xf>
    <xf borderId="10" fillId="0" fontId="2" numFmtId="168" xfId="0" applyAlignment="1" applyBorder="1" applyFont="1" applyNumberFormat="1">
      <alignment horizontal="left" readingOrder="0" vertical="center"/>
    </xf>
    <xf borderId="0" fillId="0" fontId="2" numFmtId="0" xfId="0" applyAlignment="1" applyFont="1">
      <alignment horizontal="left" vertical="center"/>
    </xf>
    <xf borderId="0" fillId="0" fontId="2" numFmtId="168" xfId="0" applyAlignment="1" applyFont="1" applyNumberFormat="1">
      <alignment horizontal="left" readingOrder="0" vertical="center"/>
    </xf>
    <xf borderId="7" fillId="0" fontId="2" numFmtId="0" xfId="0" applyAlignment="1" applyBorder="1" applyFont="1">
      <alignment horizontal="center" readingOrder="0" vertical="center"/>
    </xf>
    <xf borderId="7" fillId="0" fontId="2" numFmtId="168" xfId="0" applyAlignment="1" applyBorder="1" applyFont="1" applyNumberFormat="1">
      <alignment horizontal="center" readingOrder="0" vertical="center"/>
    </xf>
    <xf borderId="8" fillId="0" fontId="2" numFmtId="0" xfId="0" applyAlignment="1" applyBorder="1" applyFont="1">
      <alignment horizontal="center" readingOrder="0" vertical="center"/>
    </xf>
    <xf borderId="0" fillId="0" fontId="6" numFmtId="0" xfId="0" applyAlignment="1" applyFont="1">
      <alignment horizontal="left" readingOrder="0"/>
    </xf>
    <xf borderId="0" fillId="0" fontId="6" numFmtId="169" xfId="0" applyAlignment="1" applyFont="1" applyNumberFormat="1">
      <alignment horizontal="left" readingOrder="0"/>
    </xf>
    <xf borderId="0" fillId="0" fontId="2" numFmtId="169" xfId="0" applyAlignment="1" applyFont="1" applyNumberFormat="1">
      <alignment horizontal="left" readingOrder="0"/>
    </xf>
    <xf borderId="0" fillId="0" fontId="15" numFmtId="0" xfId="0" applyAlignment="1" applyFont="1">
      <alignment readingOrder="0" shrinkToFit="0" vertical="bottom" wrapText="0"/>
    </xf>
    <xf borderId="0" fillId="0" fontId="10" numFmtId="0" xfId="0" applyAlignment="1" applyFont="1">
      <alignment vertical="bottom"/>
    </xf>
    <xf borderId="16" fillId="0" fontId="16" numFmtId="0" xfId="0" applyAlignment="1" applyBorder="1" applyFont="1">
      <alignment readingOrder="0" shrinkToFit="0" vertical="bottom" wrapText="0"/>
    </xf>
    <xf borderId="14" fillId="0" fontId="10" numFmtId="0" xfId="0" applyAlignment="1" applyBorder="1" applyFont="1">
      <alignment vertical="bottom"/>
    </xf>
    <xf borderId="8" fillId="0" fontId="15" numFmtId="0" xfId="0" applyAlignment="1" applyBorder="1" applyFont="1">
      <alignment horizontal="center" readingOrder="0" vertical="bottom"/>
    </xf>
    <xf borderId="15" fillId="0" fontId="15" numFmtId="0" xfId="0" applyAlignment="1" applyBorder="1" applyFont="1">
      <alignment horizontal="center" readingOrder="0" vertical="bottom"/>
    </xf>
    <xf borderId="1" fillId="0" fontId="15" numFmtId="0" xfId="0" applyAlignment="1" applyBorder="1" applyFont="1">
      <alignment horizontal="center" readingOrder="0" vertical="bottom"/>
    </xf>
    <xf borderId="8" fillId="0" fontId="10" numFmtId="0" xfId="0" applyAlignment="1" applyBorder="1" applyFont="1">
      <alignment horizontal="center" readingOrder="0" vertical="bottom"/>
    </xf>
    <xf borderId="15" fillId="0" fontId="10" numFmtId="0" xfId="0" applyAlignment="1" applyBorder="1" applyFont="1">
      <alignment horizontal="center" readingOrder="0" vertical="bottom"/>
    </xf>
    <xf borderId="1" fillId="0" fontId="10" numFmtId="0" xfId="0" applyAlignment="1" applyBorder="1" applyFont="1">
      <alignment horizontal="center" readingOrder="0" vertical="bottom"/>
    </xf>
    <xf borderId="0" fillId="0" fontId="16" numFmtId="0" xfId="0" applyAlignment="1" applyFont="1">
      <alignment readingOrder="0" shrinkToFit="0" vertical="bottom" wrapText="0"/>
    </xf>
    <xf borderId="0" fillId="0" fontId="10" numFmtId="0" xfId="0" applyAlignment="1" applyFont="1">
      <alignment horizontal="left" vertical="bottom"/>
    </xf>
    <xf borderId="0" fillId="0" fontId="2" numFmtId="0" xfId="0" applyAlignment="1" applyFont="1">
      <alignment horizontal="left"/>
    </xf>
    <xf borderId="0" fillId="0" fontId="15" numFmtId="0" xfId="0" applyAlignment="1" applyFont="1">
      <alignment horizontal="left" readingOrder="0" vertical="bottom"/>
    </xf>
    <xf borderId="0" fillId="0" fontId="10" numFmtId="0" xfId="0" applyAlignment="1" applyFont="1">
      <alignment horizontal="left" readingOrder="0" vertical="bottom"/>
    </xf>
    <xf borderId="0" fillId="0" fontId="10" numFmtId="0" xfId="0" applyAlignment="1" applyFont="1">
      <alignment readingOrder="0" shrinkToFit="0" vertical="bottom" wrapText="0"/>
    </xf>
    <xf borderId="0" fillId="0" fontId="10" numFmtId="0" xfId="0" applyAlignment="1" applyFont="1">
      <alignment shrinkToFit="0" vertical="bottom" wrapText="0"/>
    </xf>
    <xf borderId="8" fillId="0" fontId="15" numFmtId="0" xfId="0" applyAlignment="1" applyBorder="1" applyFont="1">
      <alignment horizontal="center" vertical="bottom"/>
    </xf>
    <xf borderId="15" fillId="0" fontId="15" numFmtId="0" xfId="0" applyAlignment="1" applyBorder="1" applyFont="1">
      <alignment horizontal="center" vertical="bottom"/>
    </xf>
    <xf borderId="16" fillId="0" fontId="16" numFmtId="0" xfId="0" applyAlignment="1" applyBorder="1" applyFont="1">
      <alignment shrinkToFit="0" vertical="bottom" wrapText="0"/>
    </xf>
    <xf borderId="0" fillId="0" fontId="10" numFmtId="0" xfId="0" applyAlignment="1" applyFont="1">
      <alignment horizontal="center" vertical="bottom"/>
    </xf>
    <xf borderId="16" fillId="0" fontId="15" numFmtId="0" xfId="0" applyAlignment="1" applyBorder="1" applyFont="1">
      <alignment readingOrder="0" shrinkToFit="0" vertical="bottom" wrapText="0"/>
    </xf>
    <xf borderId="16" fillId="0" fontId="10" numFmtId="0" xfId="0" applyAlignment="1" applyBorder="1" applyFont="1">
      <alignment vertical="bottom"/>
    </xf>
    <xf borderId="14" fillId="0" fontId="15" numFmtId="0" xfId="0" applyAlignment="1" applyBorder="1" applyFont="1">
      <alignment horizontal="center" readingOrder="0" vertical="bottom"/>
    </xf>
    <xf borderId="14" fillId="0" fontId="16" numFmtId="0" xfId="0" applyAlignment="1" applyBorder="1" applyFont="1">
      <alignment horizontal="center" readingOrder="0" vertical="bottom"/>
    </xf>
    <xf borderId="15" fillId="2" fontId="17" numFmtId="0" xfId="0" applyAlignment="1" applyBorder="1" applyFont="1">
      <alignment horizontal="center" vertical="bottom"/>
    </xf>
    <xf borderId="14" fillId="13" fontId="17" numFmtId="0" xfId="0" applyAlignment="1" applyBorder="1" applyFill="1" applyFont="1">
      <alignment horizontal="center" vertical="bottom"/>
    </xf>
    <xf borderId="15" fillId="3" fontId="17" numFmtId="0" xfId="0" applyAlignment="1" applyBorder="1" applyFont="1">
      <alignment horizontal="center" readingOrder="0" vertical="bottom"/>
    </xf>
    <xf borderId="14" fillId="14" fontId="10" numFmtId="0" xfId="0" applyAlignment="1" applyBorder="1" applyFill="1" applyFont="1">
      <alignment horizontal="center" vertical="bottom"/>
    </xf>
    <xf borderId="15" fillId="3" fontId="17" numFmtId="0" xfId="0" applyAlignment="1" applyBorder="1" applyFont="1">
      <alignment horizontal="center" vertical="bottom"/>
    </xf>
    <xf borderId="15" fillId="4" fontId="17" numFmtId="0" xfId="0" applyAlignment="1" applyBorder="1" applyFont="1">
      <alignment horizontal="center" readingOrder="0" vertical="bottom"/>
    </xf>
    <xf borderId="14" fillId="15" fontId="10" numFmtId="0" xfId="0" applyAlignment="1" applyBorder="1" applyFill="1" applyFont="1">
      <alignment horizontal="center" vertical="bottom"/>
    </xf>
    <xf borderId="14" fillId="16" fontId="17" numFmtId="0" xfId="0" applyAlignment="1" applyBorder="1" applyFill="1" applyFont="1">
      <alignment horizontal="center" vertical="bottom"/>
    </xf>
    <xf borderId="14" fillId="2" fontId="17" numFmtId="0" xfId="0" applyAlignment="1" applyBorder="1" applyFont="1">
      <alignment horizontal="center" readingOrder="0" vertical="bottom"/>
    </xf>
    <xf borderId="15" fillId="4" fontId="17" numFmtId="0" xfId="0" applyAlignment="1" applyBorder="1" applyFont="1">
      <alignment horizontal="center" vertical="bottom"/>
    </xf>
    <xf borderId="15" fillId="2" fontId="17" numFmtId="0" xfId="0" applyAlignment="1" applyBorder="1" applyFont="1">
      <alignment horizontal="center" readingOrder="0" vertical="bottom"/>
    </xf>
    <xf borderId="14" fillId="17" fontId="17" numFmtId="0" xfId="0" applyAlignment="1" applyBorder="1" applyFill="1" applyFont="1">
      <alignment horizontal="center" vertical="bottom"/>
    </xf>
    <xf borderId="14" fillId="3" fontId="17" numFmtId="0" xfId="0" applyAlignment="1" applyBorder="1" applyFont="1">
      <alignment horizontal="center" readingOrder="0" vertical="bottom"/>
    </xf>
    <xf borderId="14" fillId="5" fontId="17" numFmtId="0" xfId="0" applyAlignment="1" applyBorder="1" applyFont="1">
      <alignment horizontal="center" vertical="bottom"/>
    </xf>
    <xf borderId="14" fillId="18" fontId="10" numFmtId="0" xfId="0" applyAlignment="1" applyBorder="1" applyFill="1" applyFont="1">
      <alignment horizontal="center" vertical="bottom"/>
    </xf>
    <xf borderId="14" fillId="4" fontId="17" numFmtId="0" xfId="0" applyAlignment="1" applyBorder="1" applyFont="1">
      <alignment horizontal="center" readingOrder="0" vertical="bottom"/>
    </xf>
    <xf borderId="14" fillId="4" fontId="17" numFmtId="0" xfId="0" applyAlignment="1" applyBorder="1" applyFont="1">
      <alignment horizontal="center" vertical="bottom"/>
    </xf>
    <xf borderId="1" fillId="4" fontId="17" numFmtId="0" xfId="0" applyAlignment="1" applyBorder="1" applyFont="1">
      <alignment horizontal="center" vertical="bottom"/>
    </xf>
    <xf borderId="1" fillId="4" fontId="17" numFmtId="0" xfId="0" applyAlignment="1" applyBorder="1" applyFont="1">
      <alignment horizontal="center" readingOrder="0" vertical="bottom"/>
    </xf>
    <xf borderId="1" fillId="2" fontId="17" numFmtId="0" xfId="0" applyAlignment="1" applyBorder="1" applyFont="1">
      <alignment horizontal="center" vertical="bottom"/>
    </xf>
    <xf borderId="1" fillId="2" fontId="17" numFmtId="0" xfId="0" applyAlignment="1" applyBorder="1" applyFont="1">
      <alignment horizontal="center" readingOrder="0" vertical="bottom"/>
    </xf>
    <xf borderId="14" fillId="12" fontId="17" numFmtId="0" xfId="0" applyAlignment="1" applyBorder="1" applyFont="1">
      <alignment horizontal="center" vertical="bottom"/>
    </xf>
    <xf borderId="14" fillId="17" fontId="17" numFmtId="0" xfId="0" applyAlignment="1" applyBorder="1" applyFont="1">
      <alignment horizontal="center" readingOrder="0" vertical="bottom"/>
    </xf>
    <xf borderId="14" fillId="12" fontId="17" numFmtId="0" xfId="0" applyAlignment="1" applyBorder="1" applyFont="1">
      <alignment horizontal="center" readingOrder="0" vertical="bottom"/>
    </xf>
    <xf borderId="2" fillId="3" fontId="17" numFmtId="0" xfId="0" applyAlignment="1" applyBorder="1" applyFont="1">
      <alignment horizontal="center" readingOrder="0" vertical="bottom"/>
    </xf>
    <xf borderId="1" fillId="3" fontId="17" numFmtId="0" xfId="0" applyAlignment="1" applyBorder="1" applyFont="1">
      <alignment horizontal="center" readingOrder="0" vertical="bottom"/>
    </xf>
    <xf borderId="14" fillId="19" fontId="17" numFmtId="0" xfId="0" applyAlignment="1" applyBorder="1" applyFill="1" applyFont="1">
      <alignment horizontal="center" vertical="bottom"/>
    </xf>
    <xf borderId="14" fillId="16" fontId="17" numFmtId="0" xfId="0" applyAlignment="1" applyBorder="1" applyFont="1">
      <alignment horizontal="center" readingOrder="0" vertical="bottom"/>
    </xf>
    <xf borderId="14" fillId="5" fontId="17" numFmtId="0" xfId="0" applyAlignment="1" applyBorder="1" applyFont="1">
      <alignment horizontal="center" readingOrder="0" vertical="bottom"/>
    </xf>
    <xf borderId="0" fillId="0" fontId="10" numFmtId="0" xfId="0" applyAlignment="1" applyFont="1">
      <alignment readingOrder="0" vertical="bottom"/>
    </xf>
    <xf borderId="17" fillId="0" fontId="15" numFmtId="0" xfId="0" applyAlignment="1" applyBorder="1" applyFont="1">
      <alignment readingOrder="0" shrinkToFit="0" vertical="bottom" wrapText="0"/>
    </xf>
    <xf borderId="17" fillId="0" fontId="10" numFmtId="0" xfId="0" applyAlignment="1" applyBorder="1" applyFont="1">
      <alignment vertical="bottom"/>
    </xf>
    <xf borderId="1" fillId="0" fontId="15" numFmtId="0" xfId="0" applyAlignment="1" applyBorder="1" applyFont="1">
      <alignment horizontal="center" vertical="bottom"/>
    </xf>
    <xf borderId="1" fillId="0" fontId="15" numFmtId="0" xfId="0" applyAlignment="1" applyBorder="1" applyFont="1">
      <alignment horizontal="center" vertical="bottom"/>
    </xf>
    <xf borderId="2" fillId="0" fontId="15" numFmtId="0" xfId="0" applyAlignment="1" applyBorder="1" applyFont="1">
      <alignment horizontal="center" vertical="bottom"/>
    </xf>
    <xf borderId="14" fillId="0" fontId="16" numFmtId="0" xfId="0" applyAlignment="1" applyBorder="1" applyFont="1">
      <alignment horizontal="center" vertical="bottom"/>
    </xf>
    <xf borderId="14" fillId="11" fontId="17" numFmtId="0" xfId="0" applyAlignment="1" applyBorder="1" applyFont="1">
      <alignment horizontal="center" vertical="bottom"/>
    </xf>
    <xf borderId="2" fillId="7" fontId="17" numFmtId="0" xfId="0" applyAlignment="1" applyBorder="1" applyFont="1">
      <alignment horizontal="center" readingOrder="0" vertical="bottom"/>
    </xf>
    <xf borderId="14" fillId="15" fontId="17" numFmtId="0" xfId="0" applyAlignment="1" applyBorder="1" applyFont="1">
      <alignment horizontal="center" vertical="bottom"/>
    </xf>
    <xf borderId="2" fillId="9" fontId="17" numFmtId="0" xfId="0" applyAlignment="1" applyBorder="1" applyFont="1">
      <alignment horizontal="center" readingOrder="0" vertical="bottom"/>
    </xf>
    <xf borderId="14" fillId="10" fontId="17" numFmtId="0" xfId="0" applyAlignment="1" applyBorder="1" applyFont="1">
      <alignment horizontal="center" vertical="bottom"/>
    </xf>
    <xf borderId="14" fillId="13" fontId="17" numFmtId="0" xfId="0" applyAlignment="1" applyBorder="1" applyFont="1">
      <alignment horizontal="center" readingOrder="0" vertical="bottom"/>
    </xf>
    <xf borderId="17" fillId="0" fontId="10" numFmtId="0" xfId="0" applyAlignment="1" applyBorder="1" applyFont="1">
      <alignment readingOrder="0" shrinkToFit="0" vertical="bottom" wrapText="0"/>
    </xf>
    <xf borderId="17" fillId="0" fontId="10" numFmtId="0" xfId="0" applyAlignment="1" applyBorder="1" applyFont="1">
      <alignment shrinkToFit="0" vertical="bottom" wrapText="0"/>
    </xf>
    <xf borderId="1" fillId="0" fontId="2" numFmtId="169" xfId="0" applyAlignment="1" applyBorder="1" applyFont="1" applyNumberFormat="1">
      <alignment horizontal="center" readingOrder="0"/>
    </xf>
    <xf borderId="0" fillId="0" fontId="10" numFmtId="0" xfId="0" applyAlignment="1" applyFont="1">
      <alignment horizontal="left" readingOrder="0"/>
    </xf>
    <xf borderId="0" fillId="0" fontId="10" numFmtId="0" xfId="0" applyAlignment="1" applyFont="1">
      <alignment horizontal="center"/>
    </xf>
    <xf borderId="14" fillId="0" fontId="18" numFmtId="0" xfId="0" applyAlignment="1" applyBorder="1" applyFont="1">
      <alignment readingOrder="0"/>
    </xf>
    <xf borderId="4" fillId="0" fontId="15" numFmtId="0" xfId="0" applyAlignment="1" applyBorder="1" applyFont="1">
      <alignment horizontal="center"/>
    </xf>
    <xf borderId="4" fillId="20" fontId="15" numFmtId="0" xfId="0" applyAlignment="1" applyBorder="1" applyFill="1" applyFont="1">
      <alignment horizontal="center" readingOrder="0"/>
    </xf>
    <xf borderId="8" fillId="0" fontId="15" numFmtId="0" xfId="0" applyAlignment="1" applyBorder="1" applyFont="1">
      <alignment horizontal="center"/>
    </xf>
    <xf borderId="15" fillId="0" fontId="15" numFmtId="0" xfId="0" applyAlignment="1" applyBorder="1" applyFont="1">
      <alignment horizontal="center"/>
    </xf>
    <xf borderId="8" fillId="0" fontId="10" numFmtId="0" xfId="0" applyAlignment="1" applyBorder="1" applyFont="1">
      <alignment horizontal="center"/>
    </xf>
    <xf borderId="15" fillId="20" fontId="10" numFmtId="0" xfId="0" applyAlignment="1" applyBorder="1" applyFont="1">
      <alignment horizontal="center" readingOrder="0"/>
    </xf>
    <xf borderId="15" fillId="0" fontId="10" numFmtId="0" xfId="0" applyAlignment="1" applyBorder="1" applyFont="1">
      <alignment horizontal="center"/>
    </xf>
    <xf borderId="15" fillId="20" fontId="10" numFmtId="0" xfId="0" applyAlignment="1" applyBorder="1" applyFont="1">
      <alignment horizontal="center" readingOrder="0" vertical="bottom"/>
    </xf>
    <xf borderId="14" fillId="0" fontId="19" numFmtId="0" xfId="0" applyAlignment="1" applyBorder="1" applyFont="1">
      <alignment horizontal="left" readingOrder="0"/>
    </xf>
    <xf borderId="15" fillId="20" fontId="10" numFmtId="0" xfId="0" applyAlignment="1" applyBorder="1" applyFont="1">
      <alignment horizontal="center" readingOrder="0" vertical="bottom"/>
    </xf>
    <xf borderId="14" fillId="0" fontId="20" numFmtId="0" xfId="0" applyAlignment="1" applyBorder="1" applyFont="1">
      <alignment horizontal="left" readingOrder="0"/>
    </xf>
    <xf borderId="14" fillId="0" fontId="21" numFmtId="0" xfId="0" applyAlignment="1" applyBorder="1" applyFont="1">
      <alignment horizontal="left" readingOrder="0"/>
    </xf>
    <xf borderId="15" fillId="20" fontId="15" numFmtId="0" xfId="0" applyAlignment="1" applyBorder="1" applyFont="1">
      <alignment horizontal="center" readingOrder="0"/>
    </xf>
    <xf borderId="15" fillId="20" fontId="15" numFmtId="0" xfId="0" applyAlignment="1" applyBorder="1" applyFont="1">
      <alignment horizontal="center" readingOrder="0" vertical="bottom"/>
    </xf>
    <xf borderId="5" fillId="21" fontId="2" numFmtId="0" xfId="0" applyAlignment="1" applyBorder="1" applyFill="1" applyFont="1">
      <alignment horizontal="center" readingOrder="0" vertical="center"/>
    </xf>
    <xf borderId="1" fillId="21" fontId="2" numFmtId="0" xfId="0" applyAlignment="1" applyBorder="1" applyFont="1">
      <alignment horizontal="center" readingOrder="0" vertical="center"/>
    </xf>
    <xf borderId="5" fillId="0" fontId="2" numFmtId="9" xfId="0" applyAlignment="1" applyBorder="1" applyFont="1" applyNumberFormat="1">
      <alignment horizontal="center" vertical="center"/>
    </xf>
    <xf borderId="0" fillId="6" fontId="2" numFmtId="0" xfId="0" applyAlignment="1" applyFont="1">
      <alignment horizontal="left" readingOrder="0" vertical="center"/>
    </xf>
    <xf borderId="1" fillId="0" fontId="10" numFmtId="0" xfId="0" applyAlignment="1" applyBorder="1" applyFont="1">
      <alignment horizontal="center" vertical="center"/>
    </xf>
    <xf borderId="1" fillId="0" fontId="10" numFmtId="0" xfId="0" applyAlignment="1" applyBorder="1" applyFont="1">
      <alignment horizontal="center" vertical="center"/>
    </xf>
    <xf borderId="1" fillId="0" fontId="10" numFmtId="0" xfId="0" applyAlignment="1" applyBorder="1" applyFont="1">
      <alignment horizontal="center" readingOrder="0" vertical="center"/>
    </xf>
    <xf borderId="4" fillId="0" fontId="10" numFmtId="0" xfId="0" applyAlignment="1" applyBorder="1" applyFont="1">
      <alignment horizontal="center"/>
    </xf>
    <xf borderId="15" fillId="0" fontId="10" numFmtId="0" xfId="0" applyAlignment="1" applyBorder="1" applyFont="1">
      <alignment horizontal="center" readingOrder="0"/>
    </xf>
    <xf borderId="15" fillId="0" fontId="10" numFmtId="0" xfId="0" applyAlignment="1" applyBorder="1" applyFont="1">
      <alignment horizontal="center"/>
    </xf>
    <xf borderId="1" fillId="0" fontId="10" numFmtId="0" xfId="0" applyAlignment="1" applyBorder="1" applyFont="1">
      <alignment horizontal="center" readingOrder="0" vertical="center"/>
    </xf>
    <xf borderId="15" fillId="0" fontId="22" numFmtId="0" xfId="0" applyAlignment="1" applyBorder="1" applyFont="1">
      <alignment horizontal="center"/>
    </xf>
    <xf borderId="8" fillId="0" fontId="10" numFmtId="0" xfId="0" applyAlignment="1" applyBorder="1" applyFont="1">
      <alignment horizontal="center"/>
    </xf>
    <xf borderId="8" fillId="0" fontId="10" numFmtId="0" xfId="0" applyAlignment="1" applyBorder="1" applyFont="1">
      <alignment horizontal="center" readingOrder="0"/>
    </xf>
    <xf borderId="15" fillId="0" fontId="10" numFmtId="0" xfId="0" applyAlignment="1" applyBorder="1" applyFont="1">
      <alignment horizontal="center" readingOrder="0"/>
    </xf>
    <xf borderId="1" fillId="0" fontId="4"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10" numFmtId="0" xfId="0" applyAlignment="1" applyBorder="1" applyFont="1">
      <alignment horizontal="center"/>
    </xf>
    <xf borderId="4" fillId="0" fontId="10" numFmtId="0" xfId="0" applyAlignment="1" applyBorder="1" applyFont="1">
      <alignment horizontal="center"/>
    </xf>
    <xf borderId="4" fillId="0" fontId="10" numFmtId="0" xfId="0" applyBorder="1" applyFont="1"/>
    <xf borderId="15" fillId="0" fontId="10" numFmtId="0" xfId="0" applyBorder="1" applyFont="1"/>
    <xf borderId="0" fillId="0" fontId="10" numFmtId="0" xfId="0" applyAlignment="1" applyFont="1">
      <alignment horizontal="center" vertical="center"/>
    </xf>
    <xf borderId="0" fillId="0" fontId="10" numFmtId="0" xfId="0" applyAlignment="1" applyFont="1">
      <alignment horizontal="center" vertical="center"/>
    </xf>
    <xf borderId="0" fillId="0" fontId="10" numFmtId="0" xfId="0" applyAlignment="1" applyFont="1">
      <alignment horizontal="center" readingOrder="0" vertical="center"/>
    </xf>
    <xf borderId="1" fillId="0" fontId="2" numFmtId="0" xfId="0" applyAlignment="1" applyBorder="1" applyFont="1">
      <alignment horizontal="center" readingOrder="0" shrinkToFit="0" vertical="center" wrapText="0"/>
    </xf>
    <xf borderId="17" fillId="0" fontId="10" numFmtId="0" xfId="0" applyAlignment="1" applyBorder="1" applyFont="1">
      <alignment horizontal="left" shrinkToFit="0" vertical="bottom" wrapText="0"/>
    </xf>
    <xf borderId="17" fillId="0" fontId="10" numFmtId="2" xfId="0" applyAlignment="1" applyBorder="1" applyFont="1" applyNumberFormat="1">
      <alignment horizontal="center" vertical="bottom"/>
    </xf>
    <xf borderId="0" fillId="0" fontId="10" numFmtId="2" xfId="0" applyAlignment="1" applyFont="1" applyNumberFormat="1">
      <alignment horizontal="center" vertical="bottom"/>
    </xf>
    <xf borderId="17" fillId="0" fontId="10" numFmtId="2" xfId="0" applyAlignment="1" applyBorder="1" applyFont="1" applyNumberFormat="1">
      <alignment horizontal="left" readingOrder="0" shrinkToFit="0" vertical="bottom" wrapText="0"/>
    </xf>
    <xf borderId="17" fillId="0" fontId="10" numFmtId="2" xfId="0" applyAlignment="1" applyBorder="1" applyFont="1" applyNumberFormat="1">
      <alignment horizontal="left" shrinkToFit="0" vertical="bottom" wrapText="0"/>
    </xf>
    <xf borderId="0" fillId="0" fontId="10" numFmtId="2" xfId="0" applyAlignment="1" applyFont="1" applyNumberFormat="1">
      <alignment horizontal="left" vertical="bottom"/>
    </xf>
    <xf borderId="16" fillId="0" fontId="15" numFmtId="2" xfId="0" applyAlignment="1" applyBorder="1" applyFont="1" applyNumberFormat="1">
      <alignment horizontal="left" readingOrder="0" shrinkToFit="0" vertical="bottom" wrapText="0"/>
    </xf>
    <xf borderId="16" fillId="0" fontId="10" numFmtId="2" xfId="0" applyAlignment="1" applyBorder="1" applyFont="1" applyNumberFormat="1">
      <alignment horizontal="center" vertical="bottom"/>
    </xf>
    <xf borderId="8" fillId="0" fontId="15" numFmtId="2" xfId="0" applyAlignment="1" applyBorder="1" applyFont="1" applyNumberFormat="1">
      <alignment horizontal="center" vertical="bottom"/>
    </xf>
    <xf borderId="15" fillId="0" fontId="15" numFmtId="2" xfId="0" applyAlignment="1" applyBorder="1" applyFont="1" applyNumberFormat="1">
      <alignment horizontal="center" vertical="bottom"/>
    </xf>
    <xf borderId="1" fillId="0" fontId="15" numFmtId="2" xfId="0" applyAlignment="1" applyBorder="1" applyFont="1" applyNumberFormat="1">
      <alignment horizontal="center" vertical="bottom"/>
    </xf>
    <xf borderId="1" fillId="0" fontId="15" numFmtId="2" xfId="0" applyAlignment="1" applyBorder="1" applyFont="1" applyNumberFormat="1">
      <alignment horizontal="center" readingOrder="0" vertical="bottom"/>
    </xf>
    <xf borderId="8" fillId="20" fontId="10" numFmtId="1" xfId="0" applyAlignment="1" applyBorder="1" applyFont="1" applyNumberFormat="1">
      <alignment horizontal="center" readingOrder="0" vertical="bottom"/>
    </xf>
    <xf borderId="15" fillId="20" fontId="10" numFmtId="1" xfId="0" applyAlignment="1" applyBorder="1" applyFont="1" applyNumberFormat="1">
      <alignment horizontal="center" readingOrder="0" vertical="bottom"/>
    </xf>
    <xf borderId="1" fillId="20" fontId="10" numFmtId="1" xfId="0" applyAlignment="1" applyBorder="1" applyFont="1" applyNumberFormat="1">
      <alignment horizontal="center" readingOrder="0" vertical="bottom"/>
    </xf>
    <xf borderId="16" fillId="0" fontId="15" numFmtId="2" xfId="0" applyAlignment="1" applyBorder="1" applyFont="1" applyNumberFormat="1">
      <alignment horizontal="left" shrinkToFit="0" vertical="bottom" wrapText="0"/>
    </xf>
    <xf borderId="14" fillId="0" fontId="10" numFmtId="2" xfId="0" applyAlignment="1" applyBorder="1" applyFont="1" applyNumberFormat="1">
      <alignment horizontal="center" vertical="bottom"/>
    </xf>
    <xf borderId="15" fillId="0" fontId="15" numFmtId="2" xfId="0" applyAlignment="1" applyBorder="1" applyFont="1" applyNumberFormat="1">
      <alignment horizontal="center" readingOrder="0" vertical="bottom"/>
    </xf>
    <xf borderId="8" fillId="20" fontId="10" numFmtId="2" xfId="0" applyAlignment="1" applyBorder="1" applyFont="1" applyNumberFormat="1">
      <alignment horizontal="center" readingOrder="0" vertical="bottom"/>
    </xf>
    <xf borderId="15" fillId="20" fontId="10" numFmtId="2" xfId="0" applyAlignment="1" applyBorder="1" applyFont="1" applyNumberFormat="1">
      <alignment horizontal="center" readingOrder="0" vertical="bottom"/>
    </xf>
    <xf borderId="16" fillId="0" fontId="10" numFmtId="2" xfId="0" applyAlignment="1" applyBorder="1" applyFont="1" applyNumberFormat="1">
      <alignment horizontal="left" shrinkToFit="0" vertical="bottom" wrapText="0"/>
    </xf>
    <xf borderId="8" fillId="0" fontId="10" numFmtId="2" xfId="0" applyAlignment="1" applyBorder="1" applyFont="1" applyNumberFormat="1">
      <alignment horizontal="center" vertical="bottom"/>
    </xf>
    <xf borderId="15" fillId="0" fontId="10" numFmtId="2" xfId="0" applyAlignment="1" applyBorder="1" applyFont="1" applyNumberFormat="1">
      <alignment horizontal="center" vertical="bottom"/>
    </xf>
    <xf borderId="15" fillId="0" fontId="10" numFmtId="2" xfId="0" applyAlignment="1" applyBorder="1" applyFont="1" applyNumberFormat="1">
      <alignment horizontal="center" readingOrder="0" vertical="bottom"/>
    </xf>
    <xf borderId="8" fillId="0" fontId="10" numFmtId="2" xfId="0" applyAlignment="1" applyBorder="1" applyFont="1" applyNumberFormat="1">
      <alignment horizontal="center" readingOrder="0" vertical="bottom"/>
    </xf>
  </cellXfs>
  <cellStyles count="1">
    <cellStyle xfId="0" name="Normal" builtinId="0"/>
  </cellStyles>
  <dxfs count="22">
    <dxf>
      <font/>
      <fill>
        <patternFill patternType="solid">
          <fgColor rgb="FF999999"/>
          <bgColor rgb="FF999999"/>
        </patternFill>
      </fill>
      <border/>
    </dxf>
    <dxf>
      <font/>
      <fill>
        <patternFill patternType="solid">
          <fgColor rgb="FFBF9000"/>
          <bgColor rgb="FFBF9000"/>
        </patternFill>
      </fill>
      <border/>
    </dxf>
    <dxf>
      <font/>
      <fill>
        <patternFill patternType="solid">
          <fgColor rgb="FFFF00FF"/>
          <bgColor rgb="FFFF00FF"/>
        </patternFill>
      </fill>
      <border/>
    </dxf>
    <dxf>
      <font/>
      <fill>
        <patternFill patternType="solid">
          <fgColor rgb="FF783F04"/>
          <bgColor rgb="FF783F04"/>
        </patternFill>
      </fill>
      <border/>
    </dxf>
    <dxf>
      <font>
        <color rgb="FFFFFFFF"/>
      </font>
      <fill>
        <patternFill patternType="solid">
          <fgColor rgb="FFBF9000"/>
          <bgColor rgb="FFBF9000"/>
        </patternFill>
      </fill>
      <border/>
    </dxf>
    <dxf>
      <font>
        <color rgb="FFFFFFFF"/>
      </font>
      <fill>
        <patternFill patternType="solid">
          <fgColor rgb="FFFF00FF"/>
          <bgColor rgb="FFFF00FF"/>
        </patternFill>
      </fill>
      <border/>
    </dxf>
    <dxf>
      <font>
        <color rgb="FFFFFFFF"/>
      </font>
      <fill>
        <patternFill patternType="solid">
          <fgColor rgb="FF783F04"/>
          <bgColor rgb="FF783F04"/>
        </patternFill>
      </fill>
      <border/>
    </dxf>
    <dxf>
      <font>
        <color rgb="FFFFFFFF"/>
      </font>
      <fill>
        <patternFill patternType="solid">
          <fgColor rgb="FF9900FF"/>
          <bgColor rgb="FF9900FF"/>
        </patternFill>
      </fill>
      <border/>
    </dxf>
    <dxf>
      <font>
        <color rgb="FFFFFFFF"/>
      </font>
      <fill>
        <patternFill patternType="solid">
          <fgColor rgb="FF00FF80"/>
          <bgColor rgb="FF00FF80"/>
        </patternFill>
      </fill>
      <border/>
    </dxf>
    <dxf>
      <font>
        <color rgb="FFFFFFFF"/>
      </font>
      <fill>
        <patternFill patternType="solid">
          <fgColor rgb="FF4A86E8"/>
          <bgColor rgb="FF4A86E8"/>
        </patternFill>
      </fill>
      <border/>
    </dxf>
    <dxf>
      <font/>
      <fill>
        <patternFill patternType="solid">
          <fgColor rgb="FFCC4125"/>
          <bgColor rgb="FFCC4125"/>
        </patternFill>
      </fill>
      <border/>
    </dxf>
    <dxf>
      <font/>
      <fill>
        <patternFill patternType="solid">
          <fgColor rgb="FFA61C00"/>
          <bgColor rgb="FFA61C00"/>
        </patternFill>
      </fill>
      <border/>
    </dxf>
    <dxf>
      <font/>
      <fill>
        <patternFill patternType="solid">
          <fgColor rgb="FF5B0F00"/>
          <bgColor rgb="FF5B0F00"/>
        </patternFill>
      </fill>
      <border/>
    </dxf>
    <dxf>
      <font>
        <color rgb="FFFFFFFF"/>
      </font>
      <fill>
        <patternFill patternType="solid">
          <fgColor rgb="FF434343"/>
          <bgColor rgb="FF434343"/>
        </patternFill>
      </fill>
      <border/>
    </dxf>
    <dxf>
      <font>
        <color rgb="FFFFFFFF"/>
      </font>
      <fill>
        <patternFill patternType="solid">
          <fgColor rgb="FFFF9900"/>
          <bgColor rgb="FFFF9900"/>
        </patternFill>
      </fill>
      <border/>
    </dxf>
    <dxf>
      <font>
        <color rgb="FFFFFFFF"/>
      </font>
      <fill>
        <patternFill patternType="solid">
          <fgColor rgb="FFFF0000"/>
          <bgColor rgb="FFFF0000"/>
        </patternFill>
      </fill>
      <border/>
    </dxf>
    <dxf>
      <font>
        <color rgb="FFFF0000"/>
      </font>
      <fill>
        <patternFill patternType="none"/>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00FF00"/>
          <bgColor rgb="FF00FF00"/>
        </patternFill>
      </fill>
      <border/>
    </dxf>
    <dxf>
      <font/>
      <fill>
        <patternFill patternType="solid">
          <fgColor rgb="FF00FF00"/>
          <bgColor rgb="FF00FF00"/>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94.5" customHeight="1">
      <c r="A1" s="1" t="s">
        <v>0</v>
      </c>
      <c r="G1" s="2"/>
      <c r="H1" s="2"/>
    </row>
    <row r="2" ht="22.5" customHeight="1">
      <c r="A2" s="3" t="s">
        <v>1</v>
      </c>
      <c r="G2" s="2"/>
      <c r="H2" s="2"/>
    </row>
    <row r="3">
      <c r="A3" s="2"/>
      <c r="B3" s="2"/>
      <c r="C3" s="2"/>
      <c r="D3" s="2"/>
      <c r="E3" s="2"/>
      <c r="F3" s="2"/>
      <c r="G3" s="2"/>
      <c r="H3" s="2"/>
    </row>
    <row r="4">
      <c r="A4" s="4" t="s">
        <v>2</v>
      </c>
      <c r="H4" s="2"/>
    </row>
    <row r="5">
      <c r="A5" s="2"/>
      <c r="B5" s="2"/>
      <c r="C5" s="2"/>
      <c r="D5" s="2"/>
      <c r="E5" s="2"/>
      <c r="F5" s="2"/>
      <c r="G5" s="2"/>
      <c r="H5" s="2"/>
    </row>
    <row r="6">
      <c r="A6" s="5" t="s">
        <v>3</v>
      </c>
      <c r="H6" s="2"/>
    </row>
    <row r="7">
      <c r="A7" s="2"/>
      <c r="B7" s="2"/>
      <c r="C7" s="2"/>
      <c r="D7" s="2"/>
      <c r="E7" s="2"/>
      <c r="F7" s="2"/>
      <c r="G7" s="2"/>
      <c r="H7" s="2"/>
    </row>
    <row r="8">
      <c r="A8" s="4" t="s">
        <v>4</v>
      </c>
      <c r="H8" s="2"/>
    </row>
    <row r="9">
      <c r="A9" s="2"/>
      <c r="B9" s="2"/>
      <c r="C9" s="2"/>
      <c r="D9" s="2"/>
      <c r="E9" s="2"/>
      <c r="F9" s="2"/>
      <c r="G9" s="2"/>
      <c r="H9" s="2"/>
    </row>
    <row r="10">
      <c r="A10" s="4" t="s">
        <v>5</v>
      </c>
      <c r="H10" s="2"/>
    </row>
    <row r="11">
      <c r="A11" s="2"/>
      <c r="B11" s="2"/>
      <c r="C11" s="2"/>
      <c r="D11" s="2"/>
      <c r="E11" s="2"/>
      <c r="F11" s="2"/>
      <c r="G11" s="2"/>
      <c r="H11" s="2"/>
    </row>
    <row r="12">
      <c r="A12" s="4" t="s">
        <v>6</v>
      </c>
      <c r="H12" s="2"/>
    </row>
    <row r="13">
      <c r="A13" s="2"/>
      <c r="B13" s="2"/>
      <c r="C13" s="2"/>
      <c r="D13" s="2"/>
      <c r="E13" s="2"/>
      <c r="F13" s="2"/>
      <c r="G13" s="2"/>
      <c r="H13" s="2"/>
    </row>
    <row r="14">
      <c r="A14" s="4" t="s">
        <v>7</v>
      </c>
      <c r="H14" s="2"/>
    </row>
    <row r="15">
      <c r="H15" s="2"/>
    </row>
    <row r="16">
      <c r="A16" s="4" t="s">
        <v>8</v>
      </c>
      <c r="H16" s="2"/>
    </row>
    <row r="17">
      <c r="A17" s="4"/>
      <c r="B17" s="4"/>
      <c r="C17" s="4"/>
      <c r="D17" s="4"/>
      <c r="E17" s="4"/>
      <c r="F17" s="4"/>
      <c r="G17" s="4"/>
      <c r="H17" s="2"/>
    </row>
    <row r="18">
      <c r="A18" s="4" t="s">
        <v>9</v>
      </c>
      <c r="H18" s="2"/>
    </row>
    <row r="19">
      <c r="A19" s="4"/>
      <c r="B19" s="4"/>
      <c r="C19" s="4"/>
      <c r="D19" s="4"/>
      <c r="E19" s="4"/>
      <c r="F19" s="4"/>
      <c r="G19" s="4"/>
      <c r="H19" s="2"/>
    </row>
    <row r="20">
      <c r="A20" s="4" t="s">
        <v>10</v>
      </c>
      <c r="H20" s="2"/>
    </row>
    <row r="21">
      <c r="A21" s="2"/>
      <c r="B21" s="2"/>
      <c r="C21" s="2"/>
      <c r="D21" s="2"/>
      <c r="E21" s="2"/>
      <c r="F21" s="2"/>
      <c r="G21" s="2"/>
      <c r="H21" s="2"/>
    </row>
    <row r="22">
      <c r="A22" s="6" t="s">
        <v>11</v>
      </c>
      <c r="F22" s="2"/>
      <c r="G22" s="2"/>
      <c r="H22" s="2"/>
    </row>
    <row r="23">
      <c r="A23" s="2"/>
      <c r="B23" s="2"/>
      <c r="C23" s="2"/>
      <c r="D23" s="2"/>
      <c r="E23" s="2"/>
      <c r="F23" s="2"/>
      <c r="G23" s="2"/>
      <c r="H23" s="2"/>
    </row>
    <row r="24">
      <c r="A24" s="7" t="s">
        <v>12</v>
      </c>
      <c r="H24" s="2"/>
    </row>
    <row r="25">
      <c r="A25" s="2"/>
      <c r="B25" s="2"/>
      <c r="C25" s="2"/>
      <c r="D25" s="2"/>
      <c r="E25" s="2"/>
      <c r="F25" s="2"/>
      <c r="G25" s="2"/>
      <c r="H25" s="2"/>
    </row>
    <row r="26">
      <c r="A26" s="4" t="s">
        <v>13</v>
      </c>
      <c r="H26" s="2"/>
    </row>
    <row r="27">
      <c r="A27" s="2"/>
      <c r="B27" s="2"/>
      <c r="C27" s="2"/>
      <c r="D27" s="2"/>
      <c r="E27" s="2"/>
      <c r="F27" s="2"/>
      <c r="G27" s="2"/>
      <c r="H27" s="2"/>
    </row>
    <row r="28">
      <c r="A28" s="4" t="s">
        <v>14</v>
      </c>
      <c r="H28" s="2"/>
    </row>
    <row r="29">
      <c r="A29" s="4"/>
      <c r="B29" s="4"/>
      <c r="C29" s="4"/>
      <c r="D29" s="4"/>
      <c r="E29" s="4"/>
      <c r="F29" s="4"/>
      <c r="G29" s="4"/>
      <c r="H29" s="2"/>
    </row>
    <row r="30">
      <c r="A30" s="4" t="s">
        <v>15</v>
      </c>
      <c r="H30" s="2"/>
    </row>
    <row r="31">
      <c r="A31" s="2"/>
      <c r="B31" s="2"/>
      <c r="C31" s="2"/>
      <c r="D31" s="2"/>
      <c r="E31" s="2"/>
      <c r="F31" s="2"/>
      <c r="G31" s="2"/>
      <c r="H31" s="2"/>
    </row>
    <row r="32">
      <c r="A32" s="2"/>
      <c r="B32" s="2"/>
      <c r="C32" s="2"/>
      <c r="D32" s="2"/>
      <c r="E32" s="2"/>
      <c r="F32" s="2"/>
      <c r="G32" s="2"/>
      <c r="H32" s="2"/>
    </row>
    <row r="33">
      <c r="A33" s="4" t="s">
        <v>16</v>
      </c>
      <c r="H33" s="2"/>
    </row>
    <row r="34">
      <c r="A34" s="8" t="str">
        <f>HYPERLINK("https://www.reddit.com/message/compose/","Reddit (to u/Damien4794)")</f>
        <v>Reddit (to u/Damien4794)</v>
      </c>
      <c r="C34" s="4"/>
      <c r="D34" s="4"/>
      <c r="E34" s="4"/>
      <c r="H34" s="2"/>
    </row>
    <row r="35">
      <c r="A35" s="4"/>
      <c r="B35" s="4"/>
      <c r="C35" s="4"/>
      <c r="D35" s="4"/>
      <c r="E35" s="4"/>
      <c r="F35" s="4"/>
      <c r="G35" s="4"/>
      <c r="H35" s="2"/>
    </row>
    <row r="36">
      <c r="A36" s="4" t="s">
        <v>17</v>
      </c>
      <c r="D36" s="2"/>
      <c r="E36" s="2"/>
      <c r="F36" s="2"/>
      <c r="G36" s="2"/>
      <c r="H36" s="2"/>
    </row>
  </sheetData>
  <mergeCells count="19">
    <mergeCell ref="A1:F1"/>
    <mergeCell ref="A2:F2"/>
    <mergeCell ref="A4:G4"/>
    <mergeCell ref="A6:G6"/>
    <mergeCell ref="A8:G8"/>
    <mergeCell ref="A10:G10"/>
    <mergeCell ref="A12:G12"/>
    <mergeCell ref="A28:G28"/>
    <mergeCell ref="A30:G30"/>
    <mergeCell ref="A33:F33"/>
    <mergeCell ref="A34:B34"/>
    <mergeCell ref="A36:C36"/>
    <mergeCell ref="A14:G14"/>
    <mergeCell ref="A16:G16"/>
    <mergeCell ref="A18:G18"/>
    <mergeCell ref="A20:G20"/>
    <mergeCell ref="A22:E22"/>
    <mergeCell ref="A24:E24"/>
    <mergeCell ref="A26:G2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2" width="32.29"/>
  </cols>
  <sheetData>
    <row r="1">
      <c r="A1" s="7" t="s">
        <v>1581</v>
      </c>
    </row>
    <row r="2">
      <c r="A2" s="127" t="s">
        <v>1952</v>
      </c>
    </row>
    <row r="3">
      <c r="A3" s="100" t="s">
        <v>1953</v>
      </c>
      <c r="B3" s="100" t="s">
        <v>1954</v>
      </c>
      <c r="C3" s="100" t="s">
        <v>1955</v>
      </c>
      <c r="D3" s="100" t="s">
        <v>1956</v>
      </c>
      <c r="E3" s="100" t="s">
        <v>1957</v>
      </c>
      <c r="F3" s="100" t="s">
        <v>1958</v>
      </c>
      <c r="G3" s="100" t="s">
        <v>1959</v>
      </c>
      <c r="H3" s="100" t="s">
        <v>1960</v>
      </c>
      <c r="I3" s="100" t="s">
        <v>1961</v>
      </c>
      <c r="J3" s="100" t="s">
        <v>1962</v>
      </c>
      <c r="K3" s="100" t="s">
        <v>1963</v>
      </c>
      <c r="L3" s="100" t="s">
        <v>1964</v>
      </c>
      <c r="M3" s="134"/>
    </row>
    <row r="4">
      <c r="A4" s="101">
        <v>0.0</v>
      </c>
      <c r="B4" s="101" t="s">
        <v>81</v>
      </c>
      <c r="C4" s="101">
        <v>0.0</v>
      </c>
      <c r="D4" s="101"/>
      <c r="E4" s="101">
        <v>5.0</v>
      </c>
      <c r="F4" s="102"/>
      <c r="G4" s="102"/>
      <c r="H4" s="102"/>
      <c r="I4" s="102"/>
      <c r="J4" s="102"/>
      <c r="K4" s="102"/>
      <c r="L4" s="102"/>
      <c r="M4" s="134"/>
    </row>
    <row r="5">
      <c r="A5" s="101">
        <v>1.0</v>
      </c>
      <c r="B5" s="101" t="s">
        <v>112</v>
      </c>
      <c r="C5" s="101">
        <v>0.0</v>
      </c>
      <c r="D5" s="101">
        <v>15.0</v>
      </c>
      <c r="E5" s="101">
        <v>5.0</v>
      </c>
      <c r="F5" s="101">
        <v>10.0</v>
      </c>
      <c r="G5" s="101">
        <v>1.0</v>
      </c>
      <c r="H5" s="101">
        <v>1.0</v>
      </c>
      <c r="I5" s="101">
        <v>1.0</v>
      </c>
      <c r="J5" s="101">
        <v>1.0</v>
      </c>
      <c r="K5" s="101">
        <v>1.0</v>
      </c>
      <c r="L5" s="101">
        <v>90.0</v>
      </c>
      <c r="M5" s="134"/>
    </row>
    <row r="6">
      <c r="A6" s="101">
        <v>2.0</v>
      </c>
      <c r="B6" s="101" t="s">
        <v>122</v>
      </c>
      <c r="C6" s="101">
        <v>300.0</v>
      </c>
      <c r="D6" s="101">
        <v>15.0</v>
      </c>
      <c r="E6" s="101">
        <v>7.0</v>
      </c>
      <c r="F6" s="101">
        <v>10.0</v>
      </c>
      <c r="G6" s="101">
        <v>1.0</v>
      </c>
      <c r="H6" s="101">
        <v>1.0</v>
      </c>
      <c r="I6" s="101">
        <v>2.0</v>
      </c>
      <c r="J6" s="101">
        <v>1.0</v>
      </c>
      <c r="K6" s="101">
        <v>1.0</v>
      </c>
      <c r="L6" s="101">
        <v>90.0</v>
      </c>
      <c r="M6" s="134"/>
    </row>
    <row r="7">
      <c r="A7" s="101">
        <v>3.0</v>
      </c>
      <c r="B7" s="101" t="s">
        <v>135</v>
      </c>
      <c r="C7" s="101">
        <v>600.0</v>
      </c>
      <c r="D7" s="101">
        <v>15.0</v>
      </c>
      <c r="E7" s="101">
        <v>9.0</v>
      </c>
      <c r="F7" s="101">
        <v>10.0</v>
      </c>
      <c r="G7" s="101">
        <v>1.0</v>
      </c>
      <c r="H7" s="101">
        <v>1.0</v>
      </c>
      <c r="I7" s="101">
        <v>2.0</v>
      </c>
      <c r="J7" s="101">
        <v>1.0</v>
      </c>
      <c r="K7" s="101">
        <v>1.0</v>
      </c>
      <c r="L7" s="101">
        <v>90.0</v>
      </c>
      <c r="M7" s="134"/>
    </row>
    <row r="8">
      <c r="A8" s="101">
        <v>4.0</v>
      </c>
      <c r="B8" s="101" t="s">
        <v>149</v>
      </c>
      <c r="C8" s="101">
        <v>1000.0</v>
      </c>
      <c r="D8" s="101">
        <v>30.0</v>
      </c>
      <c r="E8" s="101">
        <v>11.0</v>
      </c>
      <c r="F8" s="101">
        <v>20.0</v>
      </c>
      <c r="G8" s="101">
        <v>2.0</v>
      </c>
      <c r="H8" s="101">
        <v>2.0</v>
      </c>
      <c r="I8" s="101">
        <v>4.0</v>
      </c>
      <c r="J8" s="101">
        <v>1.0</v>
      </c>
      <c r="K8" s="101">
        <v>1.0</v>
      </c>
      <c r="L8" s="101">
        <v>180.0</v>
      </c>
      <c r="M8" s="134"/>
    </row>
    <row r="9">
      <c r="A9" s="101">
        <v>5.0</v>
      </c>
      <c r="B9" s="101" t="s">
        <v>183</v>
      </c>
      <c r="C9" s="101">
        <v>1300.0</v>
      </c>
      <c r="D9" s="101">
        <v>30.0</v>
      </c>
      <c r="E9" s="101">
        <v>12.0</v>
      </c>
      <c r="F9" s="101">
        <v>20.0</v>
      </c>
      <c r="G9" s="101">
        <v>2.0</v>
      </c>
      <c r="H9" s="101">
        <v>2.0</v>
      </c>
      <c r="I9" s="101">
        <v>4.0</v>
      </c>
      <c r="J9" s="101">
        <v>1.0</v>
      </c>
      <c r="K9" s="101">
        <v>1.0</v>
      </c>
      <c r="L9" s="101">
        <v>180.0</v>
      </c>
      <c r="M9" s="134"/>
    </row>
    <row r="10">
      <c r="A10" s="101">
        <v>6.0</v>
      </c>
      <c r="B10" s="101" t="s">
        <v>195</v>
      </c>
      <c r="C10" s="101">
        <v>1600.0</v>
      </c>
      <c r="D10" s="101">
        <v>30.0</v>
      </c>
      <c r="E10" s="101">
        <v>14.0</v>
      </c>
      <c r="F10" s="101">
        <v>20.0</v>
      </c>
      <c r="G10" s="101">
        <v>2.0</v>
      </c>
      <c r="H10" s="101">
        <v>2.0</v>
      </c>
      <c r="I10" s="101">
        <v>4.0</v>
      </c>
      <c r="J10" s="101">
        <v>1.0</v>
      </c>
      <c r="K10" s="101">
        <v>1.0</v>
      </c>
      <c r="L10" s="101">
        <v>180.0</v>
      </c>
      <c r="M10" s="134"/>
    </row>
    <row r="11">
      <c r="A11" s="101">
        <v>7.0</v>
      </c>
      <c r="B11" s="101" t="s">
        <v>206</v>
      </c>
      <c r="C11" s="101">
        <v>2000.0</v>
      </c>
      <c r="D11" s="101">
        <v>30.0</v>
      </c>
      <c r="E11" s="101">
        <v>15.0</v>
      </c>
      <c r="F11" s="101">
        <v>30.0</v>
      </c>
      <c r="G11" s="101">
        <v>3.0</v>
      </c>
      <c r="H11" s="101">
        <v>3.0</v>
      </c>
      <c r="I11" s="101">
        <v>6.0</v>
      </c>
      <c r="J11" s="101">
        <v>1.0</v>
      </c>
      <c r="K11" s="101">
        <v>1.0</v>
      </c>
      <c r="L11" s="101">
        <v>270.0</v>
      </c>
      <c r="M11" s="134"/>
    </row>
    <row r="12">
      <c r="A12" s="101">
        <v>8.0</v>
      </c>
      <c r="B12" s="101" t="s">
        <v>218</v>
      </c>
      <c r="C12" s="101">
        <v>2300.0</v>
      </c>
      <c r="D12" s="101">
        <v>30.0</v>
      </c>
      <c r="E12" s="101">
        <v>16.0</v>
      </c>
      <c r="F12" s="101">
        <v>30.0</v>
      </c>
      <c r="G12" s="101">
        <v>3.0</v>
      </c>
      <c r="H12" s="101">
        <v>3.0</v>
      </c>
      <c r="I12" s="101">
        <v>6.0</v>
      </c>
      <c r="J12" s="101">
        <v>1.0</v>
      </c>
      <c r="K12" s="101">
        <v>1.0</v>
      </c>
      <c r="L12" s="101">
        <v>270.0</v>
      </c>
      <c r="M12" s="134"/>
    </row>
    <row r="13">
      <c r="A13" s="101">
        <v>9.0</v>
      </c>
      <c r="B13" s="101" t="s">
        <v>228</v>
      </c>
      <c r="C13" s="101">
        <v>2600.0</v>
      </c>
      <c r="D13" s="101">
        <v>30.0</v>
      </c>
      <c r="E13" s="101">
        <v>18.0</v>
      </c>
      <c r="F13" s="101">
        <v>30.0</v>
      </c>
      <c r="G13" s="101">
        <v>3.0</v>
      </c>
      <c r="H13" s="101">
        <v>3.0</v>
      </c>
      <c r="I13" s="101">
        <v>6.0</v>
      </c>
      <c r="J13" s="101">
        <v>1.0</v>
      </c>
      <c r="K13" s="101">
        <v>1.0</v>
      </c>
      <c r="L13" s="101">
        <v>270.0</v>
      </c>
      <c r="M13" s="134"/>
    </row>
    <row r="14">
      <c r="A14" s="101">
        <v>10.0</v>
      </c>
      <c r="B14" s="101" t="s">
        <v>250</v>
      </c>
      <c r="C14" s="101">
        <v>3000.0</v>
      </c>
      <c r="D14" s="101">
        <v>30.0</v>
      </c>
      <c r="E14" s="101">
        <v>20.0</v>
      </c>
      <c r="F14" s="101">
        <v>40.0</v>
      </c>
      <c r="G14" s="101">
        <v>4.0</v>
      </c>
      <c r="H14" s="101">
        <v>4.0</v>
      </c>
      <c r="I14" s="101">
        <v>8.0</v>
      </c>
      <c r="J14" s="101">
        <v>1.0</v>
      </c>
      <c r="K14" s="101">
        <v>1.0</v>
      </c>
      <c r="L14" s="101">
        <v>360.0</v>
      </c>
      <c r="M14" s="134"/>
    </row>
    <row r="15">
      <c r="A15" s="101">
        <v>11.0</v>
      </c>
      <c r="B15" s="101" t="s">
        <v>281</v>
      </c>
      <c r="C15" s="101">
        <v>3400.0</v>
      </c>
      <c r="D15" s="101">
        <v>30.0</v>
      </c>
      <c r="E15" s="101">
        <v>22.0</v>
      </c>
      <c r="F15" s="101">
        <v>40.0</v>
      </c>
      <c r="G15" s="101">
        <v>4.0</v>
      </c>
      <c r="H15" s="101">
        <v>4.0</v>
      </c>
      <c r="I15" s="101">
        <v>8.0</v>
      </c>
      <c r="J15" s="101">
        <v>1.0</v>
      </c>
      <c r="K15" s="101">
        <v>1.0</v>
      </c>
      <c r="L15" s="101">
        <v>360.0</v>
      </c>
      <c r="M15" s="134"/>
    </row>
    <row r="16">
      <c r="A16" s="101">
        <v>12.0</v>
      </c>
      <c r="B16" s="101" t="s">
        <v>302</v>
      </c>
      <c r="C16" s="101">
        <v>3800.0</v>
      </c>
      <c r="D16" s="101">
        <v>30.0</v>
      </c>
      <c r="E16" s="101">
        <v>24.0</v>
      </c>
      <c r="F16" s="101">
        <v>40.0</v>
      </c>
      <c r="G16" s="101">
        <v>4.0</v>
      </c>
      <c r="H16" s="101">
        <v>4.0</v>
      </c>
      <c r="I16" s="101">
        <v>8.0</v>
      </c>
      <c r="J16" s="101">
        <v>1.0</v>
      </c>
      <c r="K16" s="101">
        <v>1.0</v>
      </c>
      <c r="L16" s="101">
        <v>360.0</v>
      </c>
      <c r="M16" s="134"/>
    </row>
    <row r="17">
      <c r="A17" s="101">
        <v>13.0</v>
      </c>
      <c r="B17" s="101" t="s">
        <v>315</v>
      </c>
      <c r="C17" s="101">
        <v>4200.0</v>
      </c>
      <c r="D17" s="101">
        <v>24.0</v>
      </c>
      <c r="E17" s="101">
        <v>44.0</v>
      </c>
      <c r="F17" s="101">
        <v>40.0</v>
      </c>
      <c r="G17" s="101">
        <v>4.0</v>
      </c>
      <c r="H17" s="101">
        <v>4.0</v>
      </c>
      <c r="I17" s="101">
        <v>8.0</v>
      </c>
      <c r="J17" s="101">
        <v>1.0</v>
      </c>
      <c r="K17" s="101">
        <v>1.0</v>
      </c>
      <c r="L17" s="101">
        <v>360.0</v>
      </c>
      <c r="M17" s="134"/>
    </row>
    <row r="18">
      <c r="A18" s="101">
        <v>14.0</v>
      </c>
      <c r="B18" s="101" t="s">
        <v>331</v>
      </c>
      <c r="C18" s="101">
        <v>4600.0</v>
      </c>
      <c r="D18" s="101">
        <v>27.0</v>
      </c>
      <c r="E18" s="101">
        <v>48.0</v>
      </c>
      <c r="F18" s="101">
        <v>40.0</v>
      </c>
      <c r="G18" s="101">
        <v>4.0</v>
      </c>
      <c r="H18" s="101">
        <v>4.0</v>
      </c>
      <c r="I18" s="101">
        <v>8.0</v>
      </c>
      <c r="J18" s="101">
        <v>1.0</v>
      </c>
      <c r="K18" s="101">
        <v>1.0</v>
      </c>
      <c r="L18" s="101">
        <v>360.0</v>
      </c>
      <c r="M18" s="134"/>
    </row>
    <row r="19">
      <c r="A19" s="101">
        <v>15.0</v>
      </c>
      <c r="B19" s="101" t="s">
        <v>392</v>
      </c>
      <c r="C19" s="101">
        <v>5000.0</v>
      </c>
      <c r="D19" s="101" t="s">
        <v>1965</v>
      </c>
      <c r="E19" s="101">
        <v>50.0</v>
      </c>
      <c r="F19" s="101">
        <v>40.0</v>
      </c>
      <c r="G19" s="101">
        <v>4.0</v>
      </c>
      <c r="H19" s="101">
        <v>4.0</v>
      </c>
      <c r="I19" s="101">
        <v>8.0</v>
      </c>
      <c r="J19" s="101">
        <v>1.0</v>
      </c>
      <c r="K19" s="101">
        <v>1.0</v>
      </c>
      <c r="L19" s="101">
        <v>360.0</v>
      </c>
      <c r="M19" s="134"/>
    </row>
    <row r="20">
      <c r="A20" s="7" t="s">
        <v>1966</v>
      </c>
    </row>
    <row r="21">
      <c r="A21" s="7" t="s">
        <v>1967</v>
      </c>
    </row>
    <row r="23">
      <c r="A23" s="127" t="s">
        <v>1968</v>
      </c>
    </row>
    <row r="24">
      <c r="A24" s="100" t="s">
        <v>1969</v>
      </c>
      <c r="B24" s="100" t="s">
        <v>1970</v>
      </c>
      <c r="C24" s="100" t="s">
        <v>1955</v>
      </c>
      <c r="D24" s="100" t="s">
        <v>1956</v>
      </c>
      <c r="E24" s="100" t="s">
        <v>1971</v>
      </c>
      <c r="F24" s="134"/>
      <c r="G24" s="134"/>
      <c r="H24" s="134"/>
      <c r="I24" s="134"/>
      <c r="J24" s="134"/>
      <c r="K24" s="134"/>
      <c r="L24" s="134"/>
      <c r="M24" s="134"/>
    </row>
    <row r="25">
      <c r="A25" s="101">
        <v>1.0</v>
      </c>
      <c r="B25" s="101" t="s">
        <v>1972</v>
      </c>
      <c r="C25" s="101">
        <v>5000.0</v>
      </c>
      <c r="D25" s="101">
        <v>24.0</v>
      </c>
      <c r="E25" s="137">
        <v>0.5</v>
      </c>
      <c r="F25" s="134"/>
      <c r="G25" s="134"/>
      <c r="H25" s="134"/>
      <c r="I25" s="134"/>
      <c r="J25" s="134"/>
      <c r="K25" s="134"/>
      <c r="L25" s="134"/>
      <c r="M25" s="134"/>
    </row>
    <row r="26">
      <c r="A26" s="101">
        <v>2.0</v>
      </c>
      <c r="B26" s="101" t="s">
        <v>1973</v>
      </c>
      <c r="C26" s="101">
        <v>5300.0</v>
      </c>
      <c r="D26" s="101">
        <v>27.0</v>
      </c>
      <c r="E26" s="137">
        <v>0.5</v>
      </c>
      <c r="F26" s="134"/>
      <c r="G26" s="134"/>
      <c r="H26" s="134"/>
      <c r="I26" s="134"/>
      <c r="J26" s="134"/>
      <c r="K26" s="134"/>
      <c r="L26" s="134"/>
      <c r="M26" s="134"/>
    </row>
    <row r="27">
      <c r="A27" s="101">
        <v>3.0</v>
      </c>
      <c r="B27" s="101" t="s">
        <v>1974</v>
      </c>
      <c r="C27" s="101">
        <v>5600.0</v>
      </c>
      <c r="D27" s="101">
        <v>27.0</v>
      </c>
      <c r="E27" s="137">
        <v>0.5</v>
      </c>
      <c r="F27" s="134"/>
      <c r="G27" s="134"/>
      <c r="H27" s="134"/>
      <c r="I27" s="134"/>
      <c r="J27" s="134"/>
      <c r="K27" s="134"/>
      <c r="L27" s="134"/>
      <c r="M27" s="134"/>
    </row>
    <row r="28">
      <c r="A28" s="101">
        <v>4.0</v>
      </c>
      <c r="B28" s="101" t="s">
        <v>1975</v>
      </c>
      <c r="C28" s="101">
        <v>6000.0</v>
      </c>
      <c r="D28" s="101">
        <v>30.0</v>
      </c>
      <c r="E28" s="137">
        <v>0.4</v>
      </c>
      <c r="F28" s="134"/>
      <c r="G28" s="134"/>
      <c r="H28" s="134"/>
      <c r="I28" s="134"/>
      <c r="J28" s="134"/>
      <c r="K28" s="134"/>
      <c r="L28" s="134"/>
      <c r="M28" s="134"/>
    </row>
    <row r="29">
      <c r="A29" s="101">
        <v>5.0</v>
      </c>
      <c r="B29" s="101" t="s">
        <v>1976</v>
      </c>
      <c r="C29" s="101">
        <v>6300.0</v>
      </c>
      <c r="D29" s="101">
        <v>30.0</v>
      </c>
      <c r="E29" s="137">
        <v>0.4</v>
      </c>
      <c r="F29" s="134"/>
      <c r="G29" s="134"/>
      <c r="H29" s="134"/>
      <c r="I29" s="134"/>
      <c r="J29" s="134"/>
      <c r="K29" s="134"/>
      <c r="L29" s="134"/>
      <c r="M29" s="134"/>
    </row>
    <row r="30">
      <c r="A30" s="101">
        <v>6.0</v>
      </c>
      <c r="B30" s="101" t="s">
        <v>1977</v>
      </c>
      <c r="C30" s="101">
        <v>6600.0</v>
      </c>
      <c r="D30" s="101">
        <v>30.0</v>
      </c>
      <c r="E30" s="137">
        <v>0.4</v>
      </c>
      <c r="F30" s="134"/>
      <c r="G30" s="134"/>
      <c r="H30" s="134"/>
      <c r="I30" s="134"/>
      <c r="J30" s="134"/>
      <c r="K30" s="134"/>
      <c r="L30" s="134"/>
      <c r="M30" s="134"/>
    </row>
    <row r="31">
      <c r="A31" s="101">
        <v>7.0</v>
      </c>
      <c r="B31" s="101" t="s">
        <v>1978</v>
      </c>
      <c r="C31" s="101">
        <v>7000.0</v>
      </c>
      <c r="D31" s="101">
        <v>30.0</v>
      </c>
      <c r="E31" s="137">
        <v>0.3</v>
      </c>
      <c r="F31" s="134"/>
      <c r="G31" s="134"/>
      <c r="H31" s="134"/>
      <c r="I31" s="134"/>
      <c r="J31" s="134"/>
      <c r="K31" s="134"/>
      <c r="L31" s="134"/>
      <c r="M31" s="134"/>
    </row>
    <row r="32">
      <c r="A32" s="101">
        <v>8.0</v>
      </c>
      <c r="B32" s="101" t="s">
        <v>1979</v>
      </c>
      <c r="C32" s="101">
        <v>7300.0</v>
      </c>
      <c r="D32" s="101">
        <v>30.0</v>
      </c>
      <c r="E32" s="137">
        <v>0.3</v>
      </c>
      <c r="F32" s="134"/>
      <c r="G32" s="134"/>
      <c r="H32" s="134"/>
      <c r="I32" s="134"/>
      <c r="J32" s="134"/>
      <c r="K32" s="134"/>
      <c r="L32" s="134"/>
      <c r="M32" s="134"/>
    </row>
    <row r="33">
      <c r="A33" s="101">
        <v>9.0</v>
      </c>
      <c r="B33" s="101" t="s">
        <v>1980</v>
      </c>
      <c r="C33" s="101">
        <v>7600.0</v>
      </c>
      <c r="D33" s="101">
        <v>30.0</v>
      </c>
      <c r="E33" s="137">
        <v>0.3</v>
      </c>
      <c r="F33" s="134"/>
      <c r="G33" s="134"/>
      <c r="H33" s="134"/>
      <c r="I33" s="134"/>
      <c r="J33" s="134"/>
      <c r="K33" s="134"/>
      <c r="L33" s="134"/>
      <c r="M33" s="134"/>
    </row>
    <row r="34">
      <c r="A34" s="101">
        <v>10.0</v>
      </c>
      <c r="B34" s="101" t="s">
        <v>1981</v>
      </c>
      <c r="C34" s="101">
        <v>8000.0</v>
      </c>
      <c r="D34" s="101">
        <v>30.0</v>
      </c>
      <c r="E34" s="137">
        <v>0.3</v>
      </c>
      <c r="F34" s="134"/>
      <c r="G34" s="134"/>
      <c r="H34" s="134"/>
      <c r="I34" s="134"/>
      <c r="J34" s="134"/>
      <c r="K34" s="134"/>
      <c r="L34" s="134"/>
      <c r="M34" s="134"/>
    </row>
    <row r="35">
      <c r="A35" s="7" t="s">
        <v>1982</v>
      </c>
    </row>
    <row r="36">
      <c r="A36" s="7" t="s">
        <v>1967</v>
      </c>
    </row>
    <row r="37">
      <c r="A37" s="7" t="s">
        <v>1983</v>
      </c>
    </row>
    <row r="39">
      <c r="A39" s="127" t="s">
        <v>1984</v>
      </c>
    </row>
    <row r="40">
      <c r="A40" s="100" t="s">
        <v>1985</v>
      </c>
      <c r="B40" s="100" t="s">
        <v>1986</v>
      </c>
      <c r="C40" s="100" t="s">
        <v>1987</v>
      </c>
      <c r="D40" s="100" t="s">
        <v>1988</v>
      </c>
      <c r="E40" s="100" t="s">
        <v>1989</v>
      </c>
      <c r="F40" s="100" t="s">
        <v>1990</v>
      </c>
      <c r="G40" s="100" t="s">
        <v>1991</v>
      </c>
    </row>
    <row r="41">
      <c r="A41" s="101" t="s">
        <v>1992</v>
      </c>
      <c r="B41" s="101">
        <v>0.0</v>
      </c>
      <c r="C41" s="101">
        <v>20.0</v>
      </c>
      <c r="D41" s="101">
        <v>10.0</v>
      </c>
      <c r="E41" s="101">
        <v>0.0</v>
      </c>
      <c r="F41" s="101">
        <v>0.0</v>
      </c>
      <c r="G41" s="101">
        <v>0.0</v>
      </c>
    </row>
    <row r="42">
      <c r="A42" s="101" t="s">
        <v>1993</v>
      </c>
      <c r="B42" s="101">
        <v>200.0</v>
      </c>
      <c r="C42" s="101">
        <v>20.0</v>
      </c>
      <c r="D42" s="101">
        <v>10.0</v>
      </c>
      <c r="E42" s="101">
        <v>-1.0</v>
      </c>
      <c r="F42" s="101">
        <v>-2.0</v>
      </c>
      <c r="G42" s="101">
        <v>-4.0</v>
      </c>
    </row>
    <row r="43">
      <c r="A43" s="101" t="s">
        <v>1994</v>
      </c>
      <c r="B43" s="101">
        <v>400.0</v>
      </c>
      <c r="C43" s="101">
        <v>20.0</v>
      </c>
      <c r="D43" s="101">
        <v>10.0</v>
      </c>
      <c r="E43" s="101">
        <v>-1.0</v>
      </c>
      <c r="F43" s="101">
        <v>-3.0</v>
      </c>
      <c r="G43" s="101">
        <v>-6.0</v>
      </c>
    </row>
    <row r="44">
      <c r="A44" s="101" t="s">
        <v>1995</v>
      </c>
      <c r="B44" s="101">
        <v>600.0</v>
      </c>
      <c r="C44" s="101">
        <v>20.0</v>
      </c>
      <c r="D44" s="101">
        <v>10.0</v>
      </c>
      <c r="E44" s="101">
        <v>-2.0</v>
      </c>
      <c r="F44" s="101">
        <v>-4.0</v>
      </c>
      <c r="G44" s="101">
        <v>-8.0</v>
      </c>
    </row>
    <row r="45">
      <c r="A45" s="101" t="s">
        <v>1996</v>
      </c>
      <c r="B45" s="101">
        <v>900.0</v>
      </c>
      <c r="C45" s="101">
        <v>20.0</v>
      </c>
      <c r="D45" s="101">
        <v>10.0</v>
      </c>
      <c r="E45" s="101">
        <v>-3.0</v>
      </c>
      <c r="F45" s="101">
        <v>-6.0</v>
      </c>
      <c r="G45" s="101">
        <v>-12.0</v>
      </c>
    </row>
    <row r="46">
      <c r="A46" s="101" t="s">
        <v>1997</v>
      </c>
      <c r="B46" s="101">
        <v>1200.0</v>
      </c>
      <c r="C46" s="101">
        <v>20.0</v>
      </c>
      <c r="D46" s="101">
        <v>10.0</v>
      </c>
      <c r="E46" s="101">
        <v>-4.0</v>
      </c>
      <c r="F46" s="101">
        <v>-8.0</v>
      </c>
      <c r="G46" s="101">
        <v>-16.0</v>
      </c>
    </row>
    <row r="47">
      <c r="A47" s="101" t="s">
        <v>1998</v>
      </c>
      <c r="B47" s="101">
        <v>1500.0</v>
      </c>
      <c r="C47" s="101">
        <v>20.0</v>
      </c>
      <c r="D47" s="101">
        <v>10.0</v>
      </c>
      <c r="E47" s="101">
        <v>-5.0</v>
      </c>
      <c r="F47" s="101">
        <v>-10.0</v>
      </c>
      <c r="G47" s="101">
        <v>-20.0</v>
      </c>
    </row>
    <row r="48">
      <c r="A48" s="101" t="s">
        <v>1999</v>
      </c>
      <c r="B48" s="101">
        <v>2000.0</v>
      </c>
      <c r="C48" s="104">
        <v>20.0</v>
      </c>
      <c r="D48" s="104">
        <v>10.0</v>
      </c>
      <c r="E48" s="104">
        <v>-5.0</v>
      </c>
      <c r="F48" s="104">
        <v>-10.0</v>
      </c>
      <c r="G48" s="104">
        <v>-20.0</v>
      </c>
    </row>
    <row r="49">
      <c r="A49" s="101" t="s">
        <v>2000</v>
      </c>
      <c r="B49" s="101">
        <v>2500.0</v>
      </c>
      <c r="C49" s="104">
        <v>20.0</v>
      </c>
      <c r="D49" s="104">
        <v>10.0</v>
      </c>
      <c r="E49" s="104">
        <v>-5.0</v>
      </c>
      <c r="F49" s="104">
        <v>-10.0</v>
      </c>
      <c r="G49" s="104">
        <v>-20.0</v>
      </c>
    </row>
    <row r="50">
      <c r="A50" s="101" t="s">
        <v>2001</v>
      </c>
      <c r="B50" s="101">
        <v>3000.0</v>
      </c>
      <c r="C50" s="104">
        <v>20.0</v>
      </c>
      <c r="D50" s="104">
        <v>10.0</v>
      </c>
      <c r="E50" s="104">
        <v>-5.0</v>
      </c>
      <c r="F50" s="104">
        <v>-10.0</v>
      </c>
      <c r="G50" s="104">
        <v>-20.0</v>
      </c>
    </row>
    <row r="51">
      <c r="A51" s="101" t="s">
        <v>2002</v>
      </c>
      <c r="B51" s="101">
        <v>4000.0</v>
      </c>
      <c r="C51" s="104">
        <v>20.0</v>
      </c>
      <c r="D51" s="104">
        <v>10.0</v>
      </c>
      <c r="E51" s="104">
        <v>-5.0</v>
      </c>
      <c r="F51" s="104">
        <v>-10.0</v>
      </c>
      <c r="G51" s="104">
        <v>-20.0</v>
      </c>
    </row>
    <row r="52">
      <c r="A52" s="101" t="s">
        <v>2003</v>
      </c>
      <c r="B52" s="101">
        <v>5000.0</v>
      </c>
      <c r="C52" s="104">
        <v>20.0</v>
      </c>
      <c r="D52" s="104">
        <v>10.0</v>
      </c>
      <c r="E52" s="104">
        <v>-5.0</v>
      </c>
      <c r="F52" s="104">
        <v>-10.0</v>
      </c>
      <c r="G52" s="104">
        <v>-20.0</v>
      </c>
    </row>
    <row r="53">
      <c r="A53" s="7" t="s">
        <v>2004</v>
      </c>
    </row>
    <row r="55">
      <c r="A55" s="127" t="s">
        <v>2005</v>
      </c>
    </row>
    <row r="56">
      <c r="A56" s="100" t="s">
        <v>2006</v>
      </c>
      <c r="B56" s="100" t="s">
        <v>2007</v>
      </c>
      <c r="C56" s="100" t="s">
        <v>1954</v>
      </c>
      <c r="D56" s="100" t="s">
        <v>2008</v>
      </c>
      <c r="E56" s="100" t="s">
        <v>2009</v>
      </c>
    </row>
    <row r="57">
      <c r="A57" s="101">
        <v>1.0</v>
      </c>
      <c r="B57" s="101" t="s">
        <v>2010</v>
      </c>
      <c r="C57" s="101" t="s">
        <v>2011</v>
      </c>
      <c r="D57" s="101" t="s">
        <v>2012</v>
      </c>
      <c r="E57" s="237">
        <v>43647.0</v>
      </c>
    </row>
    <row r="58">
      <c r="A58" s="101">
        <v>2.0</v>
      </c>
      <c r="B58" s="101" t="s">
        <v>2013</v>
      </c>
      <c r="C58" s="101" t="s">
        <v>2014</v>
      </c>
      <c r="D58" s="101" t="s">
        <v>2015</v>
      </c>
      <c r="E58" s="237">
        <v>43678.0</v>
      </c>
    </row>
    <row r="59">
      <c r="A59" s="101">
        <v>3.0</v>
      </c>
      <c r="B59" s="101" t="s">
        <v>2016</v>
      </c>
      <c r="C59" s="101" t="s">
        <v>392</v>
      </c>
      <c r="D59" s="101" t="s">
        <v>2017</v>
      </c>
      <c r="E59" s="237">
        <v>43709.0</v>
      </c>
    </row>
    <row r="60">
      <c r="A60" s="101">
        <v>4.0</v>
      </c>
      <c r="B60" s="101" t="s">
        <v>2018</v>
      </c>
      <c r="C60" s="101" t="s">
        <v>2019</v>
      </c>
      <c r="D60" s="101" t="s">
        <v>2020</v>
      </c>
      <c r="E60" s="237">
        <v>43739.0</v>
      </c>
    </row>
    <row r="61">
      <c r="A61" s="101">
        <v>5.0</v>
      </c>
      <c r="B61" s="101" t="s">
        <v>2021</v>
      </c>
      <c r="C61" s="101" t="s">
        <v>2022</v>
      </c>
      <c r="D61" s="101" t="s">
        <v>2023</v>
      </c>
      <c r="E61" s="237">
        <v>43770.0</v>
      </c>
    </row>
    <row r="62">
      <c r="A62" s="101">
        <v>6.0</v>
      </c>
      <c r="B62" s="101" t="s">
        <v>2024</v>
      </c>
      <c r="C62" s="101" t="s">
        <v>2025</v>
      </c>
      <c r="D62" s="101" t="s">
        <v>2024</v>
      </c>
      <c r="E62" s="237">
        <v>43800.0</v>
      </c>
    </row>
    <row r="63">
      <c r="A63" s="101">
        <v>7.0</v>
      </c>
      <c r="B63" s="101" t="s">
        <v>2026</v>
      </c>
      <c r="C63" s="101" t="s">
        <v>331</v>
      </c>
      <c r="D63" s="101" t="s">
        <v>2027</v>
      </c>
      <c r="E63" s="237">
        <v>43831.0</v>
      </c>
    </row>
    <row r="64">
      <c r="A64" s="101">
        <v>8.0</v>
      </c>
      <c r="B64" s="101" t="s">
        <v>2028</v>
      </c>
      <c r="C64" s="101" t="s">
        <v>392</v>
      </c>
      <c r="D64" s="101" t="s">
        <v>2029</v>
      </c>
      <c r="E64" s="237">
        <v>43862.0</v>
      </c>
    </row>
    <row r="65">
      <c r="A65" s="101">
        <v>9.0</v>
      </c>
      <c r="B65" s="101" t="s">
        <v>2030</v>
      </c>
      <c r="C65" s="101" t="s">
        <v>2031</v>
      </c>
      <c r="D65" s="101" t="s">
        <v>2032</v>
      </c>
      <c r="E65" s="237">
        <v>43891.0</v>
      </c>
    </row>
    <row r="66">
      <c r="A66" s="101">
        <v>10.0</v>
      </c>
      <c r="B66" s="101" t="s">
        <v>2033</v>
      </c>
      <c r="C66" s="101" t="s">
        <v>2034</v>
      </c>
      <c r="D66" s="101" t="s">
        <v>2035</v>
      </c>
      <c r="E66" s="237">
        <v>43922.0</v>
      </c>
    </row>
    <row r="67">
      <c r="A67" s="101">
        <v>11.0</v>
      </c>
      <c r="B67" s="101" t="s">
        <v>2036</v>
      </c>
      <c r="C67" s="101" t="s">
        <v>2037</v>
      </c>
      <c r="D67" s="101" t="s">
        <v>2038</v>
      </c>
      <c r="E67" s="237">
        <v>43952.0</v>
      </c>
    </row>
    <row r="68">
      <c r="A68" s="101">
        <v>12.0</v>
      </c>
      <c r="B68" s="101" t="s">
        <v>2039</v>
      </c>
      <c r="C68" s="101" t="s">
        <v>2040</v>
      </c>
      <c r="D68" s="101" t="s">
        <v>2041</v>
      </c>
      <c r="E68" s="237">
        <v>43983.0</v>
      </c>
    </row>
    <row r="69">
      <c r="A69" s="101">
        <v>13.0</v>
      </c>
      <c r="B69" s="101" t="s">
        <v>2042</v>
      </c>
      <c r="C69" s="101" t="s">
        <v>2014</v>
      </c>
      <c r="D69" s="101" t="s">
        <v>2043</v>
      </c>
      <c r="E69" s="237">
        <v>44013.0</v>
      </c>
    </row>
    <row r="70">
      <c r="A70" s="101">
        <v>14.0</v>
      </c>
      <c r="B70" s="101" t="s">
        <v>2044</v>
      </c>
      <c r="C70" s="101" t="s">
        <v>392</v>
      </c>
      <c r="D70" s="101" t="s">
        <v>2045</v>
      </c>
      <c r="E70" s="237">
        <v>44044.0</v>
      </c>
    </row>
    <row r="71">
      <c r="A71" s="101">
        <v>15.0</v>
      </c>
      <c r="B71" s="101" t="s">
        <v>2046</v>
      </c>
      <c r="C71" s="101" t="s">
        <v>2011</v>
      </c>
      <c r="D71" s="101" t="s">
        <v>2047</v>
      </c>
      <c r="E71" s="237">
        <v>44075.0</v>
      </c>
    </row>
    <row r="72">
      <c r="A72" s="101">
        <v>16.0</v>
      </c>
      <c r="B72" s="101" t="s">
        <v>2018</v>
      </c>
      <c r="C72" s="101" t="s">
        <v>2048</v>
      </c>
      <c r="D72" s="101" t="s">
        <v>2049</v>
      </c>
      <c r="E72" s="237">
        <v>44105.0</v>
      </c>
    </row>
    <row r="73">
      <c r="A73" s="101">
        <v>17.0</v>
      </c>
      <c r="B73" s="101" t="s">
        <v>2050</v>
      </c>
      <c r="C73" s="101" t="s">
        <v>2051</v>
      </c>
      <c r="D73" s="101" t="s">
        <v>2052</v>
      </c>
      <c r="E73" s="237">
        <v>44136.0</v>
      </c>
    </row>
    <row r="74">
      <c r="A74" s="101">
        <v>18.0</v>
      </c>
      <c r="B74" s="101" t="s">
        <v>2053</v>
      </c>
      <c r="C74" s="101" t="s">
        <v>2054</v>
      </c>
      <c r="D74" s="101" t="s">
        <v>2055</v>
      </c>
      <c r="E74" s="237">
        <v>44166.0</v>
      </c>
    </row>
    <row r="75">
      <c r="A75" s="101">
        <v>19.0</v>
      </c>
      <c r="B75" s="101" t="s">
        <v>2056</v>
      </c>
      <c r="C75" s="101" t="s">
        <v>218</v>
      </c>
      <c r="D75" s="101" t="s">
        <v>2057</v>
      </c>
      <c r="E75" s="237">
        <v>44197.0</v>
      </c>
    </row>
    <row r="76">
      <c r="A76" s="101">
        <v>20.0</v>
      </c>
      <c r="B76" s="101" t="s">
        <v>2058</v>
      </c>
      <c r="C76" s="101" t="s">
        <v>2059</v>
      </c>
      <c r="D76" s="101" t="s">
        <v>2059</v>
      </c>
      <c r="E76" s="237">
        <v>44228.0</v>
      </c>
    </row>
    <row r="77">
      <c r="A77" s="101">
        <v>21.0</v>
      </c>
      <c r="B77" s="101" t="s">
        <v>2030</v>
      </c>
      <c r="C77" s="101" t="s">
        <v>2031</v>
      </c>
      <c r="D77" s="101" t="s">
        <v>2060</v>
      </c>
      <c r="E77" s="237">
        <v>44256.0</v>
      </c>
    </row>
    <row r="78">
      <c r="A78" s="101">
        <v>22.0</v>
      </c>
      <c r="B78" s="101" t="s">
        <v>149</v>
      </c>
      <c r="C78" s="101" t="s">
        <v>149</v>
      </c>
      <c r="D78" s="101" t="s">
        <v>179</v>
      </c>
      <c r="E78" s="237">
        <v>44287.0</v>
      </c>
    </row>
    <row r="79">
      <c r="A79" s="101">
        <v>23.0</v>
      </c>
      <c r="B79" s="101" t="s">
        <v>2061</v>
      </c>
      <c r="C79" s="101" t="s">
        <v>2037</v>
      </c>
      <c r="D79" s="101" t="s">
        <v>2062</v>
      </c>
      <c r="E79" s="237">
        <v>44317.0</v>
      </c>
    </row>
    <row r="80">
      <c r="A80" s="101">
        <v>24.0</v>
      </c>
      <c r="B80" s="101" t="s">
        <v>2063</v>
      </c>
      <c r="C80" s="101" t="s">
        <v>228</v>
      </c>
      <c r="D80" s="101" t="s">
        <v>2064</v>
      </c>
      <c r="E80" s="237">
        <v>44348.0</v>
      </c>
    </row>
    <row r="82">
      <c r="A82" s="127" t="s">
        <v>2065</v>
      </c>
    </row>
    <row r="83">
      <c r="A83" s="100" t="s">
        <v>2066</v>
      </c>
      <c r="B83" s="100" t="s">
        <v>2067</v>
      </c>
      <c r="C83" s="100" t="s">
        <v>2068</v>
      </c>
      <c r="D83" s="100" t="s">
        <v>2069</v>
      </c>
      <c r="E83" s="100" t="s">
        <v>2070</v>
      </c>
      <c r="F83" s="100" t="s">
        <v>2071</v>
      </c>
      <c r="G83" s="100" t="s">
        <v>2072</v>
      </c>
      <c r="H83" s="100" t="s">
        <v>2073</v>
      </c>
      <c r="I83" s="100" t="s">
        <v>2074</v>
      </c>
      <c r="J83" s="100" t="s">
        <v>2075</v>
      </c>
    </row>
    <row r="84">
      <c r="A84" s="101" t="s">
        <v>2076</v>
      </c>
      <c r="B84" s="101" t="s">
        <v>472</v>
      </c>
      <c r="C84" s="101" t="s">
        <v>472</v>
      </c>
      <c r="D84" s="101" t="s">
        <v>472</v>
      </c>
      <c r="E84" s="101" t="s">
        <v>472</v>
      </c>
      <c r="F84" s="101" t="s">
        <v>472</v>
      </c>
      <c r="G84" s="104" t="s">
        <v>472</v>
      </c>
      <c r="H84" s="104" t="s">
        <v>472</v>
      </c>
      <c r="I84" s="104" t="s">
        <v>472</v>
      </c>
      <c r="J84" s="104" t="s">
        <v>472</v>
      </c>
    </row>
    <row r="85">
      <c r="A85" s="101" t="s">
        <v>2077</v>
      </c>
      <c r="B85" s="101" t="s">
        <v>436</v>
      </c>
      <c r="C85" s="101" t="s">
        <v>436</v>
      </c>
      <c r="D85" s="101" t="s">
        <v>436</v>
      </c>
      <c r="E85" s="101" t="s">
        <v>472</v>
      </c>
      <c r="F85" s="101" t="s">
        <v>472</v>
      </c>
      <c r="G85" s="104" t="s">
        <v>472</v>
      </c>
      <c r="H85" s="104" t="s">
        <v>472</v>
      </c>
      <c r="I85" s="104" t="s">
        <v>472</v>
      </c>
      <c r="J85" s="104" t="s">
        <v>472</v>
      </c>
    </row>
    <row r="86">
      <c r="A86" s="101" t="s">
        <v>2078</v>
      </c>
      <c r="B86" s="101" t="s">
        <v>436</v>
      </c>
      <c r="C86" s="101" t="s">
        <v>436</v>
      </c>
      <c r="D86" s="101" t="s">
        <v>436</v>
      </c>
      <c r="E86" s="101" t="s">
        <v>436</v>
      </c>
      <c r="F86" s="101" t="s">
        <v>436</v>
      </c>
      <c r="G86" s="101" t="s">
        <v>436</v>
      </c>
      <c r="H86" s="101" t="s">
        <v>436</v>
      </c>
      <c r="I86" s="104" t="s">
        <v>436</v>
      </c>
      <c r="J86" s="104" t="s">
        <v>436</v>
      </c>
    </row>
    <row r="87">
      <c r="A87" s="101" t="s">
        <v>2079</v>
      </c>
      <c r="B87" s="101" t="s">
        <v>436</v>
      </c>
      <c r="C87" s="101" t="s">
        <v>436</v>
      </c>
      <c r="D87" s="101" t="s">
        <v>436</v>
      </c>
      <c r="E87" s="101" t="s">
        <v>436</v>
      </c>
      <c r="F87" s="101" t="s">
        <v>436</v>
      </c>
      <c r="G87" s="101" t="s">
        <v>436</v>
      </c>
      <c r="H87" s="104" t="s">
        <v>436</v>
      </c>
      <c r="I87" s="104" t="s">
        <v>436</v>
      </c>
      <c r="J87" s="101" t="s">
        <v>472</v>
      </c>
    </row>
    <row r="88">
      <c r="A88" s="7"/>
    </row>
    <row r="89">
      <c r="A89" s="127" t="s">
        <v>2080</v>
      </c>
    </row>
    <row r="90">
      <c r="A90" s="100" t="s">
        <v>1697</v>
      </c>
      <c r="B90" s="100" t="s">
        <v>1901</v>
      </c>
      <c r="C90" s="100" t="s">
        <v>1905</v>
      </c>
      <c r="D90" s="100" t="s">
        <v>1912</v>
      </c>
      <c r="E90" s="100" t="s">
        <v>1930</v>
      </c>
      <c r="F90" s="100" t="s">
        <v>2081</v>
      </c>
    </row>
    <row r="91">
      <c r="A91" s="101">
        <v>4.0</v>
      </c>
      <c r="B91" s="101">
        <v>50.0</v>
      </c>
      <c r="C91" s="101">
        <v>20.0</v>
      </c>
      <c r="D91" s="101">
        <v>2.0</v>
      </c>
      <c r="E91" s="101">
        <v>1.0</v>
      </c>
      <c r="F91" s="101">
        <v>5.0</v>
      </c>
    </row>
    <row r="92">
      <c r="A92" s="101">
        <v>5.0</v>
      </c>
      <c r="B92" s="101">
        <v>50.0</v>
      </c>
      <c r="C92" s="101">
        <v>20.0</v>
      </c>
      <c r="D92" s="101">
        <v>4.0</v>
      </c>
      <c r="E92" s="101">
        <v>1.0</v>
      </c>
      <c r="F92" s="101">
        <v>5.0</v>
      </c>
    </row>
    <row r="93">
      <c r="A93" s="101">
        <v>6.0</v>
      </c>
      <c r="B93" s="101">
        <v>50.0</v>
      </c>
      <c r="C93" s="101">
        <v>20.0</v>
      </c>
      <c r="D93" s="101">
        <v>4.0</v>
      </c>
      <c r="E93" s="101">
        <v>1.0</v>
      </c>
      <c r="F93" s="101">
        <v>5.0</v>
      </c>
    </row>
    <row r="94">
      <c r="A94" s="101">
        <v>7.0</v>
      </c>
      <c r="B94" s="101">
        <v>100.0</v>
      </c>
      <c r="C94" s="101">
        <v>20.0</v>
      </c>
      <c r="D94" s="101">
        <v>10.0</v>
      </c>
      <c r="E94" s="101">
        <v>1.0</v>
      </c>
      <c r="F94" s="101">
        <v>5.0</v>
      </c>
    </row>
    <row r="95">
      <c r="A95" s="101">
        <v>8.0</v>
      </c>
      <c r="B95" s="101">
        <v>200.0</v>
      </c>
      <c r="C95" s="101">
        <v>50.0</v>
      </c>
      <c r="D95" s="101">
        <v>10.0</v>
      </c>
      <c r="E95" s="101">
        <v>1.0</v>
      </c>
      <c r="F95" s="101">
        <v>5.0</v>
      </c>
    </row>
    <row r="96">
      <c r="A96" s="101">
        <v>9.0</v>
      </c>
      <c r="B96" s="101">
        <v>400.0</v>
      </c>
      <c r="C96" s="101">
        <v>100.0</v>
      </c>
      <c r="D96" s="101">
        <v>10.0</v>
      </c>
      <c r="E96" s="101">
        <v>1.0</v>
      </c>
      <c r="F96" s="101">
        <v>6.0</v>
      </c>
    </row>
    <row r="97">
      <c r="A97" s="101">
        <v>10.0</v>
      </c>
      <c r="B97" s="101">
        <v>800.0</v>
      </c>
      <c r="C97" s="101">
        <v>200.0</v>
      </c>
      <c r="D97" s="101">
        <v>20.0</v>
      </c>
      <c r="E97" s="101">
        <v>2.0</v>
      </c>
      <c r="F97" s="101">
        <v>7.0</v>
      </c>
    </row>
    <row r="98">
      <c r="A98" s="101">
        <v>11.0</v>
      </c>
      <c r="B98" s="101">
        <v>1000.0</v>
      </c>
      <c r="C98" s="101">
        <v>400.0</v>
      </c>
      <c r="D98" s="101">
        <v>50.0</v>
      </c>
      <c r="E98" s="101">
        <v>4.0</v>
      </c>
      <c r="F98" s="101">
        <v>8.0</v>
      </c>
    </row>
    <row r="99">
      <c r="A99" s="101">
        <v>12.0</v>
      </c>
      <c r="B99" s="101">
        <v>2000.0</v>
      </c>
      <c r="C99" s="101">
        <v>800.0</v>
      </c>
      <c r="D99" s="101">
        <v>100.0</v>
      </c>
      <c r="E99" s="101">
        <v>10.0</v>
      </c>
      <c r="F99" s="101">
        <v>9.0</v>
      </c>
    </row>
    <row r="100">
      <c r="A100" s="101">
        <v>13.0</v>
      </c>
      <c r="B100" s="101">
        <v>5000.0</v>
      </c>
      <c r="C100" s="101">
        <v>1000.0</v>
      </c>
      <c r="D100" s="101">
        <v>200.0</v>
      </c>
      <c r="E100" s="101">
        <v>20.0</v>
      </c>
      <c r="F100" s="101">
        <v>10.0</v>
      </c>
    </row>
    <row r="101">
      <c r="A101" s="7" t="s">
        <v>2082</v>
      </c>
    </row>
    <row r="102">
      <c r="A102"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8" width="15.86"/>
  </cols>
  <sheetData>
    <row r="1">
      <c r="A1" s="238" t="s">
        <v>2083</v>
      </c>
      <c r="B1" s="169"/>
      <c r="C1" s="169"/>
      <c r="D1" s="169"/>
      <c r="E1" s="169"/>
      <c r="F1" s="169"/>
      <c r="G1" s="239"/>
      <c r="H1" s="239"/>
    </row>
    <row r="2">
      <c r="A2" s="238" t="s">
        <v>2084</v>
      </c>
      <c r="B2" s="169"/>
      <c r="C2" s="169"/>
      <c r="D2" s="169"/>
      <c r="E2" s="169"/>
      <c r="F2" s="169"/>
      <c r="G2" s="239"/>
      <c r="H2" s="239"/>
    </row>
    <row r="3">
      <c r="A3" s="238" t="s">
        <v>1693</v>
      </c>
      <c r="B3" s="169"/>
      <c r="C3" s="169"/>
      <c r="D3" s="169"/>
      <c r="E3" s="169"/>
      <c r="F3" s="169"/>
      <c r="G3" s="239"/>
      <c r="H3" s="239"/>
    </row>
    <row r="4">
      <c r="A4" s="240" t="s">
        <v>2085</v>
      </c>
      <c r="B4" s="171"/>
      <c r="C4" s="171"/>
      <c r="D4" s="171"/>
      <c r="E4" s="171"/>
      <c r="F4" s="116"/>
      <c r="G4" s="241" t="s">
        <v>2086</v>
      </c>
      <c r="H4" s="242">
        <v>1.0</v>
      </c>
    </row>
    <row r="5">
      <c r="A5" s="243" t="s">
        <v>23</v>
      </c>
      <c r="B5" s="244" t="s">
        <v>38</v>
      </c>
      <c r="C5" s="244" t="s">
        <v>24</v>
      </c>
      <c r="D5" s="244" t="s">
        <v>2087</v>
      </c>
      <c r="E5" s="244" t="s">
        <v>39</v>
      </c>
      <c r="F5" s="244" t="s">
        <v>27</v>
      </c>
      <c r="G5" s="244" t="s">
        <v>26</v>
      </c>
      <c r="H5" s="244" t="s">
        <v>30</v>
      </c>
    </row>
    <row r="6">
      <c r="A6" s="245">
        <v>1.0</v>
      </c>
      <c r="B6" s="246"/>
      <c r="C6" s="246"/>
      <c r="D6" s="247">
        <f t="shared" ref="D6:D19" si="2">ROUNDDOWN(C6/$H$4,0)</f>
        <v>0</v>
      </c>
      <c r="E6" s="248"/>
      <c r="F6" s="248"/>
      <c r="G6" s="248"/>
      <c r="H6" s="248"/>
    </row>
    <row r="7">
      <c r="A7" s="245">
        <v>2.0</v>
      </c>
      <c r="B7" s="247">
        <f t="shared" ref="B7:C7" si="1">ROUNDDOWN(B$6*1.1,0)</f>
        <v>0</v>
      </c>
      <c r="C7" s="247">
        <f t="shared" si="1"/>
        <v>0</v>
      </c>
      <c r="D7" s="247">
        <f t="shared" si="2"/>
        <v>0</v>
      </c>
      <c r="E7" s="247">
        <f t="shared" ref="E7:H7" si="3">ROUNDDOWN(E$6*1.1,0)</f>
        <v>0</v>
      </c>
      <c r="F7" s="247">
        <f t="shared" si="3"/>
        <v>0</v>
      </c>
      <c r="G7" s="247">
        <f t="shared" si="3"/>
        <v>0</v>
      </c>
      <c r="H7" s="247">
        <f t="shared" si="3"/>
        <v>0</v>
      </c>
    </row>
    <row r="8">
      <c r="A8" s="245">
        <v>3.0</v>
      </c>
      <c r="B8" s="247">
        <f t="shared" ref="B8:C8" si="4">ROUNDDOWN(B$6*1.21,0)</f>
        <v>0</v>
      </c>
      <c r="C8" s="247">
        <f t="shared" si="4"/>
        <v>0</v>
      </c>
      <c r="D8" s="247">
        <f t="shared" si="2"/>
        <v>0</v>
      </c>
      <c r="E8" s="247">
        <f t="shared" ref="E8:H8" si="5">ROUNDDOWN(E$6*1.21,0)</f>
        <v>0</v>
      </c>
      <c r="F8" s="247">
        <f t="shared" si="5"/>
        <v>0</v>
      </c>
      <c r="G8" s="247">
        <f t="shared" si="5"/>
        <v>0</v>
      </c>
      <c r="H8" s="247">
        <f t="shared" si="5"/>
        <v>0</v>
      </c>
    </row>
    <row r="9">
      <c r="A9" s="245">
        <v>4.0</v>
      </c>
      <c r="B9" s="247">
        <f t="shared" ref="B9:C9" si="6">ROUNDDOWN(B$6*1.33,0)</f>
        <v>0</v>
      </c>
      <c r="C9" s="247">
        <f t="shared" si="6"/>
        <v>0</v>
      </c>
      <c r="D9" s="247">
        <f t="shared" si="2"/>
        <v>0</v>
      </c>
      <c r="E9" s="247">
        <f t="shared" ref="E9:H9" si="7">ROUNDDOWN(E$6*1.33,0)</f>
        <v>0</v>
      </c>
      <c r="F9" s="247">
        <f t="shared" si="7"/>
        <v>0</v>
      </c>
      <c r="G9" s="247">
        <f t="shared" si="7"/>
        <v>0</v>
      </c>
      <c r="H9" s="247">
        <f t="shared" si="7"/>
        <v>0</v>
      </c>
    </row>
    <row r="10">
      <c r="A10" s="245">
        <v>5.0</v>
      </c>
      <c r="B10" s="247">
        <f t="shared" ref="B10:C10" si="8">ROUNDDOWN(B$6*1.46,0)</f>
        <v>0</v>
      </c>
      <c r="C10" s="247">
        <f t="shared" si="8"/>
        <v>0</v>
      </c>
      <c r="D10" s="247">
        <f t="shared" si="2"/>
        <v>0</v>
      </c>
      <c r="E10" s="247">
        <f t="shared" ref="E10:H10" si="9">ROUNDDOWN(E$6*1.46,0)</f>
        <v>0</v>
      </c>
      <c r="F10" s="247">
        <f t="shared" si="9"/>
        <v>0</v>
      </c>
      <c r="G10" s="247">
        <f t="shared" si="9"/>
        <v>0</v>
      </c>
      <c r="H10" s="247">
        <f t="shared" si="9"/>
        <v>0</v>
      </c>
    </row>
    <row r="11">
      <c r="A11" s="245">
        <v>6.0</v>
      </c>
      <c r="B11" s="247">
        <f t="shared" ref="B11:C11" si="10">ROUNDDOWN(B$6*1.6,0)</f>
        <v>0</v>
      </c>
      <c r="C11" s="247">
        <f t="shared" si="10"/>
        <v>0</v>
      </c>
      <c r="D11" s="247">
        <f t="shared" si="2"/>
        <v>0</v>
      </c>
      <c r="E11" s="247">
        <f t="shared" ref="E11:H11" si="11">ROUNDDOWN(E$6*1.6,0)</f>
        <v>0</v>
      </c>
      <c r="F11" s="247">
        <f t="shared" si="11"/>
        <v>0</v>
      </c>
      <c r="G11" s="247">
        <f t="shared" si="11"/>
        <v>0</v>
      </c>
      <c r="H11" s="247">
        <f t="shared" si="11"/>
        <v>0</v>
      </c>
    </row>
    <row r="12">
      <c r="A12" s="245">
        <v>7.0</v>
      </c>
      <c r="B12" s="247">
        <f t="shared" ref="B12:C12" si="12">ROUNDDOWN(B$6*1.76,0)</f>
        <v>0</v>
      </c>
      <c r="C12" s="247">
        <f t="shared" si="12"/>
        <v>0</v>
      </c>
      <c r="D12" s="247">
        <f t="shared" si="2"/>
        <v>0</v>
      </c>
      <c r="E12" s="247">
        <f t="shared" ref="E12:H12" si="13">ROUNDDOWN(E$6*1.76,0)</f>
        <v>0</v>
      </c>
      <c r="F12" s="247">
        <f t="shared" si="13"/>
        <v>0</v>
      </c>
      <c r="G12" s="247">
        <f t="shared" si="13"/>
        <v>0</v>
      </c>
      <c r="H12" s="247">
        <f t="shared" si="13"/>
        <v>0</v>
      </c>
    </row>
    <row r="13">
      <c r="A13" s="245">
        <v>8.0</v>
      </c>
      <c r="B13" s="247">
        <f t="shared" ref="B13:C13" si="14">ROUNDDOWN(B$6*1.93,0)</f>
        <v>0</v>
      </c>
      <c r="C13" s="247">
        <f t="shared" si="14"/>
        <v>0</v>
      </c>
      <c r="D13" s="247">
        <f t="shared" si="2"/>
        <v>0</v>
      </c>
      <c r="E13" s="247">
        <f t="shared" ref="E13:H13" si="15">ROUNDDOWN(E$6*1.93,0)</f>
        <v>0</v>
      </c>
      <c r="F13" s="247">
        <f t="shared" si="15"/>
        <v>0</v>
      </c>
      <c r="G13" s="247">
        <f t="shared" si="15"/>
        <v>0</v>
      </c>
      <c r="H13" s="247">
        <f t="shared" si="15"/>
        <v>0</v>
      </c>
    </row>
    <row r="14">
      <c r="A14" s="243">
        <v>9.0</v>
      </c>
      <c r="B14" s="244">
        <f t="shared" ref="B14:C14" si="16">ROUNDDOWN(B$6*2.12,0)</f>
        <v>0</v>
      </c>
      <c r="C14" s="244">
        <f t="shared" si="16"/>
        <v>0</v>
      </c>
      <c r="D14" s="244">
        <f t="shared" si="2"/>
        <v>0</v>
      </c>
      <c r="E14" s="244">
        <f t="shared" ref="E14:H14" si="17">ROUNDDOWN(E$6*2.12,0)</f>
        <v>0</v>
      </c>
      <c r="F14" s="244">
        <f t="shared" si="17"/>
        <v>0</v>
      </c>
      <c r="G14" s="244">
        <f t="shared" si="17"/>
        <v>0</v>
      </c>
      <c r="H14" s="244">
        <f t="shared" si="17"/>
        <v>0</v>
      </c>
    </row>
    <row r="15">
      <c r="A15" s="245">
        <v>10.0</v>
      </c>
      <c r="B15" s="247">
        <f t="shared" ref="B15:C15" si="18">ROUNDDOWN(B$6*2.33,0)</f>
        <v>0</v>
      </c>
      <c r="C15" s="247">
        <f t="shared" si="18"/>
        <v>0</v>
      </c>
      <c r="D15" s="247">
        <f t="shared" si="2"/>
        <v>0</v>
      </c>
      <c r="E15" s="247">
        <f t="shared" ref="E15:H15" si="19">ROUNDDOWN(E$6*2.33,0)</f>
        <v>0</v>
      </c>
      <c r="F15" s="247">
        <f t="shared" si="19"/>
        <v>0</v>
      </c>
      <c r="G15" s="247">
        <f t="shared" si="19"/>
        <v>0</v>
      </c>
      <c r="H15" s="247">
        <f t="shared" si="19"/>
        <v>0</v>
      </c>
    </row>
    <row r="16">
      <c r="A16" s="245">
        <v>11.0</v>
      </c>
      <c r="B16" s="247">
        <f t="shared" ref="B16:C16" si="20">ROUNDDOWN(B$6*2.56,0)</f>
        <v>0</v>
      </c>
      <c r="C16" s="247">
        <f t="shared" si="20"/>
        <v>0</v>
      </c>
      <c r="D16" s="247">
        <f t="shared" si="2"/>
        <v>0</v>
      </c>
      <c r="E16" s="247">
        <f t="shared" ref="E16:H16" si="21">ROUNDDOWN(E$6*2.56,0)</f>
        <v>0</v>
      </c>
      <c r="F16" s="247">
        <f t="shared" si="21"/>
        <v>0</v>
      </c>
      <c r="G16" s="247">
        <f t="shared" si="21"/>
        <v>0</v>
      </c>
      <c r="H16" s="247">
        <f t="shared" si="21"/>
        <v>0</v>
      </c>
    </row>
    <row r="17">
      <c r="A17" s="245">
        <v>12.0</v>
      </c>
      <c r="B17" s="247">
        <f t="shared" ref="B17:C17" si="22">ROUNDDOWN(B$6*2.81,0)</f>
        <v>0</v>
      </c>
      <c r="C17" s="247">
        <f t="shared" si="22"/>
        <v>0</v>
      </c>
      <c r="D17" s="247">
        <f t="shared" si="2"/>
        <v>0</v>
      </c>
      <c r="E17" s="247">
        <f t="shared" ref="E17:H17" si="23">ROUNDDOWN(E$6*2.81,0)</f>
        <v>0</v>
      </c>
      <c r="F17" s="247">
        <f t="shared" si="23"/>
        <v>0</v>
      </c>
      <c r="G17" s="247">
        <f t="shared" si="23"/>
        <v>0</v>
      </c>
      <c r="H17" s="247">
        <f t="shared" si="23"/>
        <v>0</v>
      </c>
    </row>
    <row r="18">
      <c r="A18" s="245">
        <v>13.0</v>
      </c>
      <c r="B18" s="247">
        <f t="shared" ref="B18:C18" si="24">ROUNDDOWN(B$6*3.09,0)</f>
        <v>0</v>
      </c>
      <c r="C18" s="247">
        <f t="shared" si="24"/>
        <v>0</v>
      </c>
      <c r="D18" s="247">
        <f t="shared" si="2"/>
        <v>0</v>
      </c>
      <c r="E18" s="247">
        <f t="shared" ref="E18:H18" si="25">ROUNDDOWN(E$6*3.09,0)</f>
        <v>0</v>
      </c>
      <c r="F18" s="247">
        <f t="shared" si="25"/>
        <v>0</v>
      </c>
      <c r="G18" s="247">
        <f t="shared" si="25"/>
        <v>0</v>
      </c>
      <c r="H18" s="247">
        <f t="shared" si="25"/>
        <v>0</v>
      </c>
    </row>
    <row r="19">
      <c r="A19" s="245">
        <v>14.0</v>
      </c>
      <c r="B19" s="247">
        <f t="shared" ref="B19:C19" si="26">ROUNDDOWN(B$6*3.39,0)</f>
        <v>0</v>
      </c>
      <c r="C19" s="247">
        <f t="shared" si="26"/>
        <v>0</v>
      </c>
      <c r="D19" s="247">
        <f t="shared" si="2"/>
        <v>0</v>
      </c>
      <c r="E19" s="247">
        <f t="shared" ref="E19:H19" si="27">ROUNDDOWN(E$6*3.39,0)</f>
        <v>0</v>
      </c>
      <c r="F19" s="247">
        <f t="shared" si="27"/>
        <v>0</v>
      </c>
      <c r="G19" s="247">
        <f t="shared" si="27"/>
        <v>0</v>
      </c>
      <c r="H19" s="247">
        <f t="shared" si="27"/>
        <v>0</v>
      </c>
    </row>
    <row r="21">
      <c r="A21" s="249" t="s">
        <v>2088</v>
      </c>
      <c r="B21" s="171"/>
      <c r="C21" s="171"/>
      <c r="D21" s="171"/>
      <c r="E21" s="171"/>
      <c r="F21" s="116"/>
      <c r="G21" s="241" t="s">
        <v>2086</v>
      </c>
      <c r="H21" s="242">
        <v>1.0</v>
      </c>
    </row>
    <row r="22">
      <c r="A22" s="243" t="s">
        <v>23</v>
      </c>
      <c r="B22" s="244" t="s">
        <v>38</v>
      </c>
      <c r="C22" s="244" t="s">
        <v>24</v>
      </c>
      <c r="D22" s="244" t="s">
        <v>2087</v>
      </c>
      <c r="E22" s="244" t="s">
        <v>39</v>
      </c>
      <c r="F22" s="244" t="s">
        <v>27</v>
      </c>
      <c r="G22" s="244" t="s">
        <v>26</v>
      </c>
      <c r="H22" s="244" t="s">
        <v>30</v>
      </c>
    </row>
    <row r="23">
      <c r="A23" s="245">
        <v>3.0</v>
      </c>
      <c r="B23" s="246"/>
      <c r="C23" s="246"/>
      <c r="D23" s="247">
        <f t="shared" ref="D23:D34" si="29">ROUNDDOWN(C23/$H$21,0)</f>
        <v>0</v>
      </c>
      <c r="E23" s="248"/>
      <c r="F23" s="248"/>
      <c r="G23" s="250"/>
      <c r="H23" s="248"/>
    </row>
    <row r="24">
      <c r="A24" s="245">
        <v>4.0</v>
      </c>
      <c r="B24" s="247">
        <f t="shared" ref="B24:C24" si="28">ROUNDDOWN(B$23*1.1,0)</f>
        <v>0</v>
      </c>
      <c r="C24" s="247">
        <f t="shared" si="28"/>
        <v>0</v>
      </c>
      <c r="D24" s="247">
        <f t="shared" si="29"/>
        <v>0</v>
      </c>
      <c r="E24" s="247">
        <f t="shared" ref="E24:H24" si="30">ROUNDDOWN(E$23*1.1,0)</f>
        <v>0</v>
      </c>
      <c r="F24" s="247">
        <f t="shared" si="30"/>
        <v>0</v>
      </c>
      <c r="G24" s="247">
        <f t="shared" si="30"/>
        <v>0</v>
      </c>
      <c r="H24" s="247">
        <f t="shared" si="30"/>
        <v>0</v>
      </c>
    </row>
    <row r="25">
      <c r="A25" s="245">
        <v>5.0</v>
      </c>
      <c r="B25" s="247">
        <f t="shared" ref="B25:C25" si="31">ROUNDDOWN(B$23*1.21,0)</f>
        <v>0</v>
      </c>
      <c r="C25" s="247">
        <f t="shared" si="31"/>
        <v>0</v>
      </c>
      <c r="D25" s="247">
        <f t="shared" si="29"/>
        <v>0</v>
      </c>
      <c r="E25" s="247">
        <f t="shared" ref="E25:H25" si="32">ROUNDDOWN(E$23*1.21,0)</f>
        <v>0</v>
      </c>
      <c r="F25" s="247">
        <f t="shared" si="32"/>
        <v>0</v>
      </c>
      <c r="G25" s="247">
        <f t="shared" si="32"/>
        <v>0</v>
      </c>
      <c r="H25" s="247">
        <f t="shared" si="32"/>
        <v>0</v>
      </c>
    </row>
    <row r="26">
      <c r="A26" s="245">
        <v>6.0</v>
      </c>
      <c r="B26" s="247">
        <f t="shared" ref="B26:C26" si="33">ROUNDDOWN(B$23*1.33,0)</f>
        <v>0</v>
      </c>
      <c r="C26" s="247">
        <f t="shared" si="33"/>
        <v>0</v>
      </c>
      <c r="D26" s="247">
        <f t="shared" si="29"/>
        <v>0</v>
      </c>
      <c r="E26" s="247">
        <f t="shared" ref="E26:H26" si="34">ROUNDDOWN(E$23*1.33,0)</f>
        <v>0</v>
      </c>
      <c r="F26" s="247">
        <f t="shared" si="34"/>
        <v>0</v>
      </c>
      <c r="G26" s="247">
        <f t="shared" si="34"/>
        <v>0</v>
      </c>
      <c r="H26" s="247">
        <f t="shared" si="34"/>
        <v>0</v>
      </c>
    </row>
    <row r="27">
      <c r="A27" s="245">
        <v>7.0</v>
      </c>
      <c r="B27" s="247">
        <f t="shared" ref="B27:C27" si="35">ROUNDDOWN(B$23*1.46,0)</f>
        <v>0</v>
      </c>
      <c r="C27" s="247">
        <f t="shared" si="35"/>
        <v>0</v>
      </c>
      <c r="D27" s="247">
        <f t="shared" si="29"/>
        <v>0</v>
      </c>
      <c r="E27" s="247">
        <f t="shared" ref="E27:H27" si="36">ROUNDDOWN(E$23*1.46,0)</f>
        <v>0</v>
      </c>
      <c r="F27" s="247">
        <f t="shared" si="36"/>
        <v>0</v>
      </c>
      <c r="G27" s="247">
        <f t="shared" si="36"/>
        <v>0</v>
      </c>
      <c r="H27" s="247">
        <f t="shared" si="36"/>
        <v>0</v>
      </c>
    </row>
    <row r="28">
      <c r="A28" s="245">
        <v>8.0</v>
      </c>
      <c r="B28" s="247">
        <f t="shared" ref="B28:C28" si="37">ROUNDDOWN(B$23*1.6,0)</f>
        <v>0</v>
      </c>
      <c r="C28" s="247">
        <f t="shared" si="37"/>
        <v>0</v>
      </c>
      <c r="D28" s="247">
        <f t="shared" si="29"/>
        <v>0</v>
      </c>
      <c r="E28" s="247">
        <f t="shared" ref="E28:H28" si="38">ROUNDDOWN(E$23*1.6,0)</f>
        <v>0</v>
      </c>
      <c r="F28" s="247">
        <f t="shared" si="38"/>
        <v>0</v>
      </c>
      <c r="G28" s="247">
        <f t="shared" si="38"/>
        <v>0</v>
      </c>
      <c r="H28" s="247">
        <f t="shared" si="38"/>
        <v>0</v>
      </c>
    </row>
    <row r="29">
      <c r="A29" s="243">
        <v>9.0</v>
      </c>
      <c r="B29" s="244">
        <f t="shared" ref="B29:C29" si="39">ROUNDDOWN(B$23*1.76,0)</f>
        <v>0</v>
      </c>
      <c r="C29" s="244">
        <f t="shared" si="39"/>
        <v>0</v>
      </c>
      <c r="D29" s="244">
        <f t="shared" si="29"/>
        <v>0</v>
      </c>
      <c r="E29" s="244">
        <f t="shared" ref="E29:H29" si="40">ROUNDDOWN(E$23*1.76,0)</f>
        <v>0</v>
      </c>
      <c r="F29" s="244">
        <f t="shared" si="40"/>
        <v>0</v>
      </c>
      <c r="G29" s="244">
        <f t="shared" si="40"/>
        <v>0</v>
      </c>
      <c r="H29" s="244">
        <f t="shared" si="40"/>
        <v>0</v>
      </c>
    </row>
    <row r="30">
      <c r="A30" s="245">
        <v>10.0</v>
      </c>
      <c r="B30" s="247">
        <f t="shared" ref="B30:C30" si="41">ROUNDDOWN(B$23*1.93,0)</f>
        <v>0</v>
      </c>
      <c r="C30" s="247">
        <f t="shared" si="41"/>
        <v>0</v>
      </c>
      <c r="D30" s="247">
        <f t="shared" si="29"/>
        <v>0</v>
      </c>
      <c r="E30" s="247">
        <f t="shared" ref="E30:H30" si="42">ROUNDDOWN(E$23*1.93,0)</f>
        <v>0</v>
      </c>
      <c r="F30" s="247">
        <f t="shared" si="42"/>
        <v>0</v>
      </c>
      <c r="G30" s="247">
        <f t="shared" si="42"/>
        <v>0</v>
      </c>
      <c r="H30" s="247">
        <f t="shared" si="42"/>
        <v>0</v>
      </c>
    </row>
    <row r="31">
      <c r="A31" s="245">
        <v>11.0</v>
      </c>
      <c r="B31" s="247">
        <f t="shared" ref="B31:C31" si="43">ROUNDDOWN(B$23*2.12,0)</f>
        <v>0</v>
      </c>
      <c r="C31" s="247">
        <f t="shared" si="43"/>
        <v>0</v>
      </c>
      <c r="D31" s="247">
        <f t="shared" si="29"/>
        <v>0</v>
      </c>
      <c r="E31" s="247">
        <f t="shared" ref="E31:H31" si="44">ROUNDDOWN(E$23*2.12,0)</f>
        <v>0</v>
      </c>
      <c r="F31" s="247">
        <f t="shared" si="44"/>
        <v>0</v>
      </c>
      <c r="G31" s="247">
        <f t="shared" si="44"/>
        <v>0</v>
      </c>
      <c r="H31" s="247">
        <f t="shared" si="44"/>
        <v>0</v>
      </c>
    </row>
    <row r="32">
      <c r="A32" s="245">
        <v>12.0</v>
      </c>
      <c r="B32" s="247">
        <f t="shared" ref="B32:C32" si="45">ROUNDDOWN(B$23*2.33,0)</f>
        <v>0</v>
      </c>
      <c r="C32" s="247">
        <f t="shared" si="45"/>
        <v>0</v>
      </c>
      <c r="D32" s="247">
        <f t="shared" si="29"/>
        <v>0</v>
      </c>
      <c r="E32" s="247">
        <f t="shared" ref="E32:H32" si="46">ROUNDDOWN(E$23*2.33,0)</f>
        <v>0</v>
      </c>
      <c r="F32" s="247">
        <f t="shared" si="46"/>
        <v>0</v>
      </c>
      <c r="G32" s="247">
        <f t="shared" si="46"/>
        <v>0</v>
      </c>
      <c r="H32" s="247">
        <f t="shared" si="46"/>
        <v>0</v>
      </c>
    </row>
    <row r="33">
      <c r="A33" s="245">
        <v>13.0</v>
      </c>
      <c r="B33" s="247">
        <f t="shared" ref="B33:C33" si="47">ROUNDDOWN(B$23*2.56,0)</f>
        <v>0</v>
      </c>
      <c r="C33" s="247">
        <f t="shared" si="47"/>
        <v>0</v>
      </c>
      <c r="D33" s="247">
        <f t="shared" si="29"/>
        <v>0</v>
      </c>
      <c r="E33" s="247">
        <f t="shared" ref="E33:H33" si="48">ROUNDDOWN(E$23*2.56,0)</f>
        <v>0</v>
      </c>
      <c r="F33" s="247">
        <f t="shared" si="48"/>
        <v>0</v>
      </c>
      <c r="G33" s="247">
        <f t="shared" si="48"/>
        <v>0</v>
      </c>
      <c r="H33" s="247">
        <f t="shared" si="48"/>
        <v>0</v>
      </c>
    </row>
    <row r="34">
      <c r="A34" s="245">
        <v>14.0</v>
      </c>
      <c r="B34" s="247">
        <f t="shared" ref="B34:C34" si="49">ROUNDDOWN(B$23*2.81,0)</f>
        <v>0</v>
      </c>
      <c r="C34" s="247">
        <f t="shared" si="49"/>
        <v>0</v>
      </c>
      <c r="D34" s="247">
        <f t="shared" si="29"/>
        <v>0</v>
      </c>
      <c r="E34" s="247">
        <f t="shared" ref="E34:H34" si="50">ROUNDDOWN(E$23*2.81,0)</f>
        <v>0</v>
      </c>
      <c r="F34" s="247">
        <f t="shared" si="50"/>
        <v>0</v>
      </c>
      <c r="G34" s="247">
        <f t="shared" si="50"/>
        <v>0</v>
      </c>
      <c r="H34" s="247">
        <f t="shared" si="50"/>
        <v>0</v>
      </c>
    </row>
    <row r="36">
      <c r="A36" s="251" t="s">
        <v>2089</v>
      </c>
      <c r="B36" s="171"/>
      <c r="C36" s="171"/>
      <c r="D36" s="171"/>
      <c r="E36" s="171"/>
      <c r="F36" s="116"/>
      <c r="G36" s="241" t="s">
        <v>2086</v>
      </c>
      <c r="H36" s="242">
        <v>1.0</v>
      </c>
    </row>
    <row r="37">
      <c r="A37" s="243" t="s">
        <v>23</v>
      </c>
      <c r="B37" s="244" t="s">
        <v>38</v>
      </c>
      <c r="C37" s="244" t="s">
        <v>24</v>
      </c>
      <c r="D37" s="244" t="s">
        <v>2087</v>
      </c>
      <c r="E37" s="244" t="s">
        <v>39</v>
      </c>
      <c r="F37" s="244" t="s">
        <v>27</v>
      </c>
      <c r="G37" s="244" t="s">
        <v>26</v>
      </c>
      <c r="H37" s="244" t="s">
        <v>30</v>
      </c>
    </row>
    <row r="38">
      <c r="A38" s="245">
        <v>6.0</v>
      </c>
      <c r="B38" s="246"/>
      <c r="C38" s="246"/>
      <c r="D38" s="247">
        <f t="shared" ref="D38:D46" si="52">ROUNDDOWN(C38/$H$36,0)</f>
        <v>0</v>
      </c>
      <c r="E38" s="248"/>
      <c r="F38" s="250"/>
      <c r="G38" s="248"/>
      <c r="H38" s="248"/>
    </row>
    <row r="39">
      <c r="A39" s="245">
        <v>7.0</v>
      </c>
      <c r="B39" s="247">
        <f t="shared" ref="B39:C39" si="51">ROUNDDOWN(B$38*1.1,0)</f>
        <v>0</v>
      </c>
      <c r="C39" s="247">
        <f t="shared" si="51"/>
        <v>0</v>
      </c>
      <c r="D39" s="247">
        <f t="shared" si="52"/>
        <v>0</v>
      </c>
      <c r="E39" s="247">
        <f t="shared" ref="E39:H39" si="53">ROUNDDOWN(E$38*1.1,0)</f>
        <v>0</v>
      </c>
      <c r="F39" s="247">
        <f t="shared" si="53"/>
        <v>0</v>
      </c>
      <c r="G39" s="247">
        <f t="shared" si="53"/>
        <v>0</v>
      </c>
      <c r="H39" s="247">
        <f t="shared" si="53"/>
        <v>0</v>
      </c>
    </row>
    <row r="40">
      <c r="A40" s="245">
        <v>8.0</v>
      </c>
      <c r="B40" s="247">
        <f t="shared" ref="B40:C40" si="54">ROUNDDOWN(B$38*1.21,0)</f>
        <v>0</v>
      </c>
      <c r="C40" s="247">
        <f t="shared" si="54"/>
        <v>0</v>
      </c>
      <c r="D40" s="247">
        <f t="shared" si="52"/>
        <v>0</v>
      </c>
      <c r="E40" s="247">
        <f t="shared" ref="E40:H40" si="55">ROUNDDOWN(E$38*1.21,0)</f>
        <v>0</v>
      </c>
      <c r="F40" s="247">
        <f t="shared" si="55"/>
        <v>0</v>
      </c>
      <c r="G40" s="247">
        <f t="shared" si="55"/>
        <v>0</v>
      </c>
      <c r="H40" s="247">
        <f t="shared" si="55"/>
        <v>0</v>
      </c>
    </row>
    <row r="41">
      <c r="A41" s="243">
        <v>9.0</v>
      </c>
      <c r="B41" s="244">
        <f t="shared" ref="B41:C41" si="56">ROUNDDOWN(B$38*1.33,0)</f>
        <v>0</v>
      </c>
      <c r="C41" s="244">
        <f t="shared" si="56"/>
        <v>0</v>
      </c>
      <c r="D41" s="244">
        <f t="shared" si="52"/>
        <v>0</v>
      </c>
      <c r="E41" s="244">
        <f t="shared" ref="E41:H41" si="57">ROUNDDOWN(E$38*1.33,0)</f>
        <v>0</v>
      </c>
      <c r="F41" s="244">
        <f t="shared" si="57"/>
        <v>0</v>
      </c>
      <c r="G41" s="244">
        <f t="shared" si="57"/>
        <v>0</v>
      </c>
      <c r="H41" s="244">
        <f t="shared" si="57"/>
        <v>0</v>
      </c>
    </row>
    <row r="42">
      <c r="A42" s="245">
        <v>10.0</v>
      </c>
      <c r="B42" s="247">
        <f t="shared" ref="B42:C42" si="58">ROUNDDOWN(B$38*1.46,0)</f>
        <v>0</v>
      </c>
      <c r="C42" s="247">
        <f t="shared" si="58"/>
        <v>0</v>
      </c>
      <c r="D42" s="247">
        <f t="shared" si="52"/>
        <v>0</v>
      </c>
      <c r="E42" s="247">
        <f t="shared" ref="E42:H42" si="59">ROUNDDOWN(E$38*1.46,0)</f>
        <v>0</v>
      </c>
      <c r="F42" s="247">
        <f t="shared" si="59"/>
        <v>0</v>
      </c>
      <c r="G42" s="247">
        <f t="shared" si="59"/>
        <v>0</v>
      </c>
      <c r="H42" s="247">
        <f t="shared" si="59"/>
        <v>0</v>
      </c>
    </row>
    <row r="43">
      <c r="A43" s="245">
        <v>11.0</v>
      </c>
      <c r="B43" s="247">
        <f t="shared" ref="B43:C43" si="60">ROUNDDOWN(B$38*1.6,0)</f>
        <v>0</v>
      </c>
      <c r="C43" s="247">
        <f t="shared" si="60"/>
        <v>0</v>
      </c>
      <c r="D43" s="247">
        <f t="shared" si="52"/>
        <v>0</v>
      </c>
      <c r="E43" s="247">
        <f t="shared" ref="E43:H43" si="61">ROUNDDOWN(E$38*1.6,0)</f>
        <v>0</v>
      </c>
      <c r="F43" s="247">
        <f t="shared" si="61"/>
        <v>0</v>
      </c>
      <c r="G43" s="247">
        <f t="shared" si="61"/>
        <v>0</v>
      </c>
      <c r="H43" s="247">
        <f t="shared" si="61"/>
        <v>0</v>
      </c>
    </row>
    <row r="44">
      <c r="A44" s="245">
        <v>12.0</v>
      </c>
      <c r="B44" s="247">
        <f t="shared" ref="B44:C44" si="62">ROUNDDOWN(B$38*1.76,0)</f>
        <v>0</v>
      </c>
      <c r="C44" s="247">
        <f t="shared" si="62"/>
        <v>0</v>
      </c>
      <c r="D44" s="247">
        <f t="shared" si="52"/>
        <v>0</v>
      </c>
      <c r="E44" s="247">
        <f t="shared" ref="E44:H44" si="63">ROUNDDOWN(E$38*1.76,0)</f>
        <v>0</v>
      </c>
      <c r="F44" s="247">
        <f t="shared" si="63"/>
        <v>0</v>
      </c>
      <c r="G44" s="247">
        <f t="shared" si="63"/>
        <v>0</v>
      </c>
      <c r="H44" s="247">
        <f t="shared" si="63"/>
        <v>0</v>
      </c>
    </row>
    <row r="45">
      <c r="A45" s="245">
        <v>13.0</v>
      </c>
      <c r="B45" s="247">
        <f t="shared" ref="B45:C45" si="64">ROUNDDOWN(B$38*1.93,0)</f>
        <v>0</v>
      </c>
      <c r="C45" s="247">
        <f t="shared" si="64"/>
        <v>0</v>
      </c>
      <c r="D45" s="247">
        <f t="shared" si="52"/>
        <v>0</v>
      </c>
      <c r="E45" s="247">
        <f t="shared" ref="E45:H45" si="65">ROUNDDOWN(E$38*1.93,0)</f>
        <v>0</v>
      </c>
      <c r="F45" s="247">
        <f t="shared" si="65"/>
        <v>0</v>
      </c>
      <c r="G45" s="247">
        <f t="shared" si="65"/>
        <v>0</v>
      </c>
      <c r="H45" s="247">
        <f t="shared" si="65"/>
        <v>0</v>
      </c>
    </row>
    <row r="46">
      <c r="A46" s="245">
        <v>14.0</v>
      </c>
      <c r="B46" s="247">
        <f t="shared" ref="B46:C46" si="66">ROUNDDOWN(B$38*2.12,0)</f>
        <v>0</v>
      </c>
      <c r="C46" s="247">
        <f t="shared" si="66"/>
        <v>0</v>
      </c>
      <c r="D46" s="247">
        <f t="shared" si="52"/>
        <v>0</v>
      </c>
      <c r="E46" s="247">
        <f t="shared" ref="E46:H46" si="67">ROUNDDOWN(E$38*2.12,0)</f>
        <v>0</v>
      </c>
      <c r="F46" s="247">
        <f t="shared" si="67"/>
        <v>0</v>
      </c>
      <c r="G46" s="247">
        <f t="shared" si="67"/>
        <v>0</v>
      </c>
      <c r="H46" s="247">
        <f t="shared" si="67"/>
        <v>0</v>
      </c>
    </row>
    <row r="48">
      <c r="A48" s="252" t="s">
        <v>2090</v>
      </c>
      <c r="B48" s="171"/>
      <c r="C48" s="171"/>
      <c r="D48" s="171"/>
      <c r="E48" s="171"/>
      <c r="F48" s="116"/>
      <c r="G48" s="241" t="s">
        <v>2086</v>
      </c>
      <c r="H48" s="242">
        <v>1.0</v>
      </c>
    </row>
    <row r="49">
      <c r="A49" s="243" t="s">
        <v>23</v>
      </c>
      <c r="B49" s="244" t="s">
        <v>38</v>
      </c>
      <c r="C49" s="244" t="s">
        <v>24</v>
      </c>
      <c r="D49" s="244" t="s">
        <v>2087</v>
      </c>
      <c r="E49" s="244" t="s">
        <v>39</v>
      </c>
      <c r="F49" s="244" t="s">
        <v>27</v>
      </c>
      <c r="G49" s="244" t="s">
        <v>26</v>
      </c>
      <c r="H49" s="244" t="s">
        <v>30</v>
      </c>
    </row>
    <row r="50">
      <c r="A50" s="243">
        <v>9.0</v>
      </c>
      <c r="B50" s="253">
        <v>569.0</v>
      </c>
      <c r="C50" s="253"/>
      <c r="D50" s="244">
        <f t="shared" ref="D50:D55" si="69">ROUNDDOWN(C50/$H$48,0)</f>
        <v>0</v>
      </c>
      <c r="E50" s="254"/>
      <c r="F50" s="254"/>
      <c r="G50" s="254"/>
      <c r="H50" s="254"/>
    </row>
    <row r="51">
      <c r="A51" s="245">
        <v>10.0</v>
      </c>
      <c r="B51" s="247">
        <f t="shared" ref="B51:C51" si="68">ROUNDDOWN(B$50*1.1,0)</f>
        <v>625</v>
      </c>
      <c r="C51" s="247">
        <f t="shared" si="68"/>
        <v>0</v>
      </c>
      <c r="D51" s="247">
        <f t="shared" si="69"/>
        <v>0</v>
      </c>
      <c r="E51" s="247">
        <f t="shared" ref="E51:H51" si="70">ROUNDDOWN(E$50*1.1,0)</f>
        <v>0</v>
      </c>
      <c r="F51" s="247">
        <f t="shared" si="70"/>
        <v>0</v>
      </c>
      <c r="G51" s="247">
        <f t="shared" si="70"/>
        <v>0</v>
      </c>
      <c r="H51" s="247">
        <f t="shared" si="70"/>
        <v>0</v>
      </c>
    </row>
    <row r="52">
      <c r="A52" s="245">
        <v>11.0</v>
      </c>
      <c r="B52" s="247">
        <f t="shared" ref="B52:C52" si="71">ROUNDDOWN(B$50*1.21,0)</f>
        <v>688</v>
      </c>
      <c r="C52" s="247">
        <f t="shared" si="71"/>
        <v>0</v>
      </c>
      <c r="D52" s="247">
        <f t="shared" si="69"/>
        <v>0</v>
      </c>
      <c r="E52" s="247">
        <f t="shared" ref="E52:H52" si="72">ROUNDDOWN(E$50*1.21,0)</f>
        <v>0</v>
      </c>
      <c r="F52" s="247">
        <f t="shared" si="72"/>
        <v>0</v>
      </c>
      <c r="G52" s="247">
        <f t="shared" si="72"/>
        <v>0</v>
      </c>
      <c r="H52" s="247">
        <f t="shared" si="72"/>
        <v>0</v>
      </c>
    </row>
    <row r="53">
      <c r="A53" s="245">
        <v>12.0</v>
      </c>
      <c r="B53" s="247">
        <f t="shared" ref="B53:C53" si="73">ROUNDDOWN(B$50*1.33,0)</f>
        <v>756</v>
      </c>
      <c r="C53" s="247">
        <f t="shared" si="73"/>
        <v>0</v>
      </c>
      <c r="D53" s="247">
        <f t="shared" si="69"/>
        <v>0</v>
      </c>
      <c r="E53" s="247">
        <f t="shared" ref="E53:H53" si="74">ROUNDDOWN(E$50*1.33,0)</f>
        <v>0</v>
      </c>
      <c r="F53" s="247">
        <f t="shared" si="74"/>
        <v>0</v>
      </c>
      <c r="G53" s="247">
        <f t="shared" si="74"/>
        <v>0</v>
      </c>
      <c r="H53" s="247">
        <f t="shared" si="74"/>
        <v>0</v>
      </c>
    </row>
    <row r="54">
      <c r="A54" s="245">
        <v>13.0</v>
      </c>
      <c r="B54" s="247">
        <f t="shared" ref="B54:C54" si="75">ROUNDDOWN(B$50*1.46,0)</f>
        <v>830</v>
      </c>
      <c r="C54" s="247">
        <f t="shared" si="75"/>
        <v>0</v>
      </c>
      <c r="D54" s="247">
        <f t="shared" si="69"/>
        <v>0</v>
      </c>
      <c r="E54" s="247">
        <f t="shared" ref="E54:H54" si="76">ROUNDDOWN(E$50*1.46,0)</f>
        <v>0</v>
      </c>
      <c r="F54" s="247">
        <f t="shared" si="76"/>
        <v>0</v>
      </c>
      <c r="G54" s="247">
        <f t="shared" si="76"/>
        <v>0</v>
      </c>
      <c r="H54" s="247">
        <f t="shared" si="76"/>
        <v>0</v>
      </c>
    </row>
    <row r="55">
      <c r="A55" s="245">
        <v>14.0</v>
      </c>
      <c r="B55" s="247">
        <f t="shared" ref="B55:C55" si="77">ROUNDDOWN(B$50*1.57,0)</f>
        <v>893</v>
      </c>
      <c r="C55" s="247">
        <f t="shared" si="77"/>
        <v>0</v>
      </c>
      <c r="D55" s="247">
        <f t="shared" si="69"/>
        <v>0</v>
      </c>
      <c r="E55" s="247">
        <f t="shared" ref="E55:H55" si="78">ROUNDDOWN(E$50*1.57,0)</f>
        <v>0</v>
      </c>
      <c r="F55" s="247">
        <f t="shared" si="78"/>
        <v>0</v>
      </c>
      <c r="G55" s="247">
        <f t="shared" si="78"/>
        <v>0</v>
      </c>
      <c r="H55" s="247">
        <f t="shared" si="78"/>
        <v>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29"/>
    <col customWidth="1" min="2" max="2" width="9.86"/>
    <col customWidth="1" min="3" max="3" width="20.57"/>
    <col customWidth="1" min="4" max="4" width="27.0"/>
    <col customWidth="1" min="5" max="5" width="25.29"/>
    <col customWidth="1" min="6" max="6" width="20.71"/>
    <col customWidth="1" min="7" max="7" width="19.71"/>
    <col customWidth="1" min="8" max="8" width="15.14"/>
    <col customWidth="1" min="9" max="9" width="15.29"/>
    <col customWidth="1" min="10" max="10" width="15.43"/>
    <col customWidth="1" min="11" max="11" width="11.0"/>
    <col customWidth="1" min="12" max="12" width="25.71"/>
    <col customWidth="1" min="13" max="13" width="24.0"/>
    <col customWidth="1" min="14" max="14" width="16.71"/>
  </cols>
  <sheetData>
    <row r="1">
      <c r="A1" s="150" t="s">
        <v>2083</v>
      </c>
      <c r="C1" s="10"/>
      <c r="D1" s="10"/>
      <c r="E1" s="10"/>
      <c r="F1" s="10"/>
      <c r="G1" s="10"/>
      <c r="H1" s="10"/>
      <c r="I1" s="10"/>
      <c r="J1" s="10"/>
      <c r="K1" s="10"/>
      <c r="L1" s="10"/>
      <c r="M1" s="10"/>
      <c r="N1" s="10"/>
      <c r="O1" s="10"/>
    </row>
    <row r="2">
      <c r="A2" s="150" t="s">
        <v>1547</v>
      </c>
      <c r="C2" s="10"/>
      <c r="D2" s="10"/>
      <c r="E2" s="10"/>
      <c r="F2" s="10"/>
      <c r="G2" s="10"/>
      <c r="H2" s="10"/>
      <c r="I2" s="10"/>
      <c r="J2" s="10"/>
      <c r="K2" s="10"/>
      <c r="L2" s="10"/>
      <c r="M2" s="10"/>
      <c r="N2" s="10"/>
      <c r="O2" s="10"/>
    </row>
    <row r="3">
      <c r="A3" s="11" t="s">
        <v>2091</v>
      </c>
      <c r="B3" s="11" t="s">
        <v>20</v>
      </c>
      <c r="C3" s="11" t="s">
        <v>23</v>
      </c>
      <c r="D3" s="11" t="s">
        <v>2092</v>
      </c>
      <c r="E3" s="11" t="s">
        <v>2093</v>
      </c>
      <c r="F3" s="11" t="s">
        <v>2094</v>
      </c>
      <c r="G3" s="11" t="s">
        <v>2095</v>
      </c>
      <c r="H3" s="11" t="s">
        <v>2096</v>
      </c>
      <c r="I3" s="11" t="s">
        <v>2097</v>
      </c>
      <c r="J3" s="11" t="s">
        <v>2098</v>
      </c>
      <c r="K3" s="11" t="s">
        <v>2099</v>
      </c>
      <c r="L3" s="10"/>
      <c r="M3" s="10"/>
      <c r="N3" s="10"/>
      <c r="O3" s="10"/>
    </row>
    <row r="4">
      <c r="A4" s="255" t="s">
        <v>226</v>
      </c>
      <c r="B4" s="16" t="s">
        <v>181</v>
      </c>
      <c r="C4" s="18" t="s">
        <v>2100</v>
      </c>
      <c r="D4" s="256">
        <v>590.0</v>
      </c>
      <c r="E4" s="256">
        <v>75.0</v>
      </c>
      <c r="F4" s="256">
        <v>569.0</v>
      </c>
      <c r="G4" s="256">
        <v>75.0</v>
      </c>
      <c r="H4" s="257">
        <f>IFERROR(__xludf.DUMMYFUNCTION("TO_PERCENT(F4/D4-1)"),-0.035593220338983045)</f>
        <v>-0.03559322034</v>
      </c>
      <c r="I4" s="257">
        <f>IFERROR(__xludf.DUMMYFUNCTION("TO_PERCENT(G4/E4-1)"),0.0)</f>
        <v>0</v>
      </c>
      <c r="J4" s="255" t="s">
        <v>2101</v>
      </c>
      <c r="K4" s="255" t="s">
        <v>2102</v>
      </c>
      <c r="L4" s="10"/>
      <c r="M4" s="10"/>
      <c r="N4" s="10"/>
      <c r="O4" s="10"/>
    </row>
    <row r="5">
      <c r="A5" s="22"/>
      <c r="B5" s="22"/>
      <c r="C5" s="18">
        <v>9.0</v>
      </c>
      <c r="D5" s="155">
        <f t="shared" ref="D5:G5" si="1">IF($B4="Common",ROUNDDOWN(D4*2.12,0),IF($B4="Rare",ROUNDDOWN(D4*1.76,0),IF($B4="Epic",ROUNDDOWN(D4*1.33,0),IF($B4="Legendary",D4*1,"Error: invalid rarity!"))))</f>
        <v>590</v>
      </c>
      <c r="E5" s="155">
        <f t="shared" si="1"/>
        <v>75</v>
      </c>
      <c r="F5" s="155">
        <f t="shared" si="1"/>
        <v>569</v>
      </c>
      <c r="G5" s="155">
        <f t="shared" si="1"/>
        <v>75</v>
      </c>
      <c r="H5" s="22"/>
      <c r="I5" s="22"/>
      <c r="J5" s="22"/>
      <c r="K5" s="22"/>
      <c r="L5" s="10"/>
      <c r="M5" s="10"/>
      <c r="N5" s="10"/>
      <c r="O5" s="10"/>
    </row>
    <row r="6">
      <c r="A6" s="150" t="s">
        <v>2103</v>
      </c>
      <c r="C6" s="10"/>
      <c r="D6" s="10"/>
      <c r="E6" s="10"/>
      <c r="F6" s="10"/>
      <c r="G6" s="10"/>
      <c r="H6" s="10"/>
      <c r="I6" s="10"/>
      <c r="J6" s="10"/>
      <c r="K6" s="10"/>
      <c r="L6" s="10"/>
      <c r="M6" s="10"/>
      <c r="N6" s="10"/>
      <c r="O6" s="10"/>
    </row>
    <row r="7">
      <c r="A7" s="150" t="s">
        <v>2104</v>
      </c>
      <c r="C7" s="10"/>
      <c r="D7" s="10"/>
      <c r="E7" s="10"/>
      <c r="F7" s="10"/>
      <c r="G7" s="10"/>
      <c r="H7" s="10"/>
      <c r="I7" s="10"/>
      <c r="J7" s="10"/>
      <c r="K7" s="10"/>
      <c r="L7" s="10"/>
      <c r="M7" s="10"/>
      <c r="N7" s="10"/>
      <c r="O7" s="10"/>
    </row>
    <row r="8">
      <c r="A8" s="150" t="s">
        <v>2105</v>
      </c>
      <c r="C8" s="10"/>
      <c r="D8" s="10"/>
      <c r="E8" s="10"/>
      <c r="F8" s="10"/>
      <c r="G8" s="10"/>
      <c r="H8" s="10"/>
      <c r="I8" s="10"/>
      <c r="J8" s="10"/>
      <c r="K8" s="10"/>
      <c r="L8" s="10"/>
      <c r="M8" s="10"/>
      <c r="N8" s="10"/>
      <c r="O8" s="10"/>
    </row>
    <row r="9">
      <c r="A9" s="258" t="s">
        <v>2106</v>
      </c>
      <c r="C9" s="10"/>
      <c r="D9" s="10"/>
      <c r="E9" s="10"/>
      <c r="F9" s="10"/>
      <c r="G9" s="10"/>
      <c r="H9" s="10"/>
      <c r="I9" s="10"/>
      <c r="J9" s="10"/>
      <c r="K9" s="10"/>
      <c r="L9" s="10"/>
      <c r="M9" s="10"/>
      <c r="N9" s="10"/>
      <c r="O9" s="10"/>
    </row>
    <row r="10">
      <c r="A10" s="152" t="s">
        <v>2107</v>
      </c>
      <c r="C10" s="10"/>
      <c r="D10" s="10"/>
      <c r="E10" s="10"/>
      <c r="F10" s="10"/>
      <c r="G10" s="10"/>
      <c r="H10" s="152" t="s">
        <v>2108</v>
      </c>
      <c r="J10" s="10"/>
      <c r="K10" s="10"/>
      <c r="L10" s="10"/>
      <c r="M10" s="10"/>
      <c r="N10" s="10"/>
      <c r="O10" s="10"/>
    </row>
    <row r="11">
      <c r="A11" s="11" t="s">
        <v>2109</v>
      </c>
      <c r="B11" s="11" t="s">
        <v>24</v>
      </c>
      <c r="C11" s="11" t="s">
        <v>50</v>
      </c>
      <c r="D11" s="11" t="s">
        <v>2110</v>
      </c>
      <c r="E11" s="11" t="s">
        <v>2111</v>
      </c>
      <c r="F11" s="11" t="s">
        <v>2112</v>
      </c>
      <c r="G11" s="10"/>
      <c r="H11" s="11" t="s">
        <v>2109</v>
      </c>
      <c r="I11" s="11" t="s">
        <v>38</v>
      </c>
      <c r="J11" s="11" t="s">
        <v>39</v>
      </c>
      <c r="K11" s="11" t="s">
        <v>2113</v>
      </c>
      <c r="L11" s="11" t="s">
        <v>2110</v>
      </c>
      <c r="M11" s="11" t="s">
        <v>2111</v>
      </c>
      <c r="N11" s="11" t="s">
        <v>2112</v>
      </c>
      <c r="O11" s="10"/>
    </row>
    <row r="12">
      <c r="A12" s="32" t="s">
        <v>201</v>
      </c>
      <c r="B12" s="18">
        <v>34.0</v>
      </c>
      <c r="C12" s="18" t="s">
        <v>2102</v>
      </c>
      <c r="D12" s="155">
        <f t="shared" ref="D12:D88" si="2">IF($D$5="Error: invalid rarity!","Error: invalid rarity!",IF($C12="GA",ROUNDUP(D$5/$B12,0),IF(AND($C12="G",$K$4&lt;&gt;"A"),ROUNDUP(D$5/$B12,0),IF(AND($C12="B",$K$4="B"),ROUNDUP(D$5/$B12,0),"N/A"))))</f>
        <v>18</v>
      </c>
      <c r="E12" s="155">
        <f t="shared" ref="E12:E88" si="3">IF($F$5="Error: invalid rarity!","Error: invalid rarity!", IF($C12="GA",ROUNDUP(F$5/$B12,0),IF(AND($C12="G",$K$4&lt;&gt;"A"),ROUNDUP(F$5/$B12,0),IF(AND($C12="B",$K$4="B"),ROUNDUP(F$5/$B12,0),"N/A"))))</f>
        <v>17</v>
      </c>
      <c r="F12" s="155">
        <f t="shared" ref="F12:F90" si="4">IF(E12="Error: invalid rarity!","Error: invalid rarity!",IF(D12="N/A","N/A",E12-D12))</f>
        <v>-1</v>
      </c>
      <c r="G12" s="10"/>
      <c r="H12" s="259" t="s">
        <v>538</v>
      </c>
      <c r="I12" s="259">
        <v>67.0</v>
      </c>
      <c r="J12" s="155"/>
      <c r="K12" s="260" t="s">
        <v>2102</v>
      </c>
      <c r="L12" s="259">
        <f t="shared" ref="L12:L101" si="5">IF($E$5="Error: invalid rarity!","Error: invalid rarity!",IF($J$4="GA",ROUNDUP($I12/E$5,0)+ROUNDUP($J12/E$5,0),IF(AND($J$4="G",$K12&lt;&gt;"A"),ROUNDUP($I12/E$5,0)+ROUNDUP($J12/E$5,0),IF(AND($J$4="B",$K12="B"),ROUNDUP($I12/E$5,0)+ROUNDUP($J12/E$5,0),"N/A"))))</f>
        <v>1</v>
      </c>
      <c r="M12" s="259">
        <f t="shared" ref="M12:M101" si="6">IF($G$5="Error: invalid rarity!","Error: invalid rarity!",IF($J$4="GA",ROUNDUP($I12/G$5,0)+ROUNDUP($J12/G$5,0),IF(AND($J$4="G",$K12&lt;&gt;"A"),ROUNDUP($I12/G$5,0)+ROUNDUP($J12/G$5,0),IF(AND($J$4="B",$K12="B"),ROUNDUP($I12/G$5,0)+ROUNDUP($J12/G$5,0),"N/A"))))</f>
        <v>1</v>
      </c>
      <c r="N12" s="259">
        <f t="shared" ref="N12:N101" si="7">IF(M12="Error: invalid rarity!","Error: invalid rarity!",IF(L12="N/A","N/A",M12-L12))</f>
        <v>0</v>
      </c>
      <c r="O12" s="10"/>
    </row>
    <row r="13">
      <c r="A13" s="18" t="s">
        <v>408</v>
      </c>
      <c r="B13" s="18">
        <v>41.0</v>
      </c>
      <c r="C13" s="18" t="s">
        <v>2114</v>
      </c>
      <c r="D13" s="155" t="str">
        <f t="shared" si="2"/>
        <v>N/A</v>
      </c>
      <c r="E13" s="155" t="str">
        <f t="shared" si="3"/>
        <v>N/A</v>
      </c>
      <c r="F13" s="155" t="str">
        <f t="shared" si="4"/>
        <v>N/A</v>
      </c>
      <c r="G13" s="10"/>
      <c r="H13" s="259" t="s">
        <v>652</v>
      </c>
      <c r="I13" s="259">
        <v>67.0</v>
      </c>
      <c r="J13" s="155"/>
      <c r="K13" s="260" t="s">
        <v>2115</v>
      </c>
      <c r="L13" s="259">
        <f t="shared" si="5"/>
        <v>1</v>
      </c>
      <c r="M13" s="259">
        <f t="shared" si="6"/>
        <v>1</v>
      </c>
      <c r="N13" s="259">
        <f t="shared" si="7"/>
        <v>0</v>
      </c>
      <c r="O13" s="10"/>
    </row>
    <row r="14">
      <c r="A14" s="18" t="s">
        <v>400</v>
      </c>
      <c r="B14" s="18">
        <v>44.0</v>
      </c>
      <c r="C14" s="18" t="s">
        <v>2114</v>
      </c>
      <c r="D14" s="155" t="str">
        <f t="shared" si="2"/>
        <v>N/A</v>
      </c>
      <c r="E14" s="155" t="str">
        <f t="shared" si="3"/>
        <v>N/A</v>
      </c>
      <c r="F14" s="155" t="str">
        <f t="shared" si="4"/>
        <v>N/A</v>
      </c>
      <c r="G14" s="10"/>
      <c r="H14" s="259" t="s">
        <v>509</v>
      </c>
      <c r="I14" s="259">
        <v>110.0</v>
      </c>
      <c r="J14" s="155"/>
      <c r="K14" s="260" t="s">
        <v>2102</v>
      </c>
      <c r="L14" s="259">
        <f t="shared" si="5"/>
        <v>2</v>
      </c>
      <c r="M14" s="259">
        <f t="shared" si="6"/>
        <v>2</v>
      </c>
      <c r="N14" s="259">
        <f t="shared" si="7"/>
        <v>0</v>
      </c>
      <c r="O14" s="10"/>
    </row>
    <row r="15">
      <c r="A15" s="155" t="s">
        <v>278</v>
      </c>
      <c r="B15" s="155">
        <v>45.0</v>
      </c>
      <c r="C15" s="18" t="s">
        <v>2114</v>
      </c>
      <c r="D15" s="155" t="str">
        <f t="shared" si="2"/>
        <v>N/A</v>
      </c>
      <c r="E15" s="155" t="str">
        <f t="shared" si="3"/>
        <v>N/A</v>
      </c>
      <c r="F15" s="155" t="str">
        <f t="shared" si="4"/>
        <v>N/A</v>
      </c>
      <c r="G15" s="10"/>
      <c r="H15" s="259" t="s">
        <v>324</v>
      </c>
      <c r="I15" s="261">
        <v>167.0</v>
      </c>
      <c r="J15" s="155"/>
      <c r="K15" s="260" t="s">
        <v>2102</v>
      </c>
      <c r="L15" s="259">
        <f t="shared" si="5"/>
        <v>3</v>
      </c>
      <c r="M15" s="259">
        <f t="shared" si="6"/>
        <v>3</v>
      </c>
      <c r="N15" s="259">
        <f t="shared" si="7"/>
        <v>0</v>
      </c>
      <c r="O15" s="10"/>
    </row>
    <row r="16">
      <c r="A16" s="18" t="s">
        <v>411</v>
      </c>
      <c r="B16" s="18">
        <v>52.0</v>
      </c>
      <c r="C16" s="18" t="s">
        <v>2114</v>
      </c>
      <c r="D16" s="262" t="str">
        <f t="shared" si="2"/>
        <v>N/A</v>
      </c>
      <c r="E16" s="262" t="str">
        <f t="shared" si="3"/>
        <v>N/A</v>
      </c>
      <c r="F16" s="262" t="str">
        <f t="shared" si="4"/>
        <v>N/A</v>
      </c>
      <c r="G16" s="10"/>
      <c r="H16" s="259" t="s">
        <v>614</v>
      </c>
      <c r="I16" s="259">
        <v>179.0</v>
      </c>
      <c r="J16" s="155"/>
      <c r="K16" s="260" t="s">
        <v>2115</v>
      </c>
      <c r="L16" s="259">
        <f t="shared" si="5"/>
        <v>3</v>
      </c>
      <c r="M16" s="259">
        <f t="shared" si="6"/>
        <v>3</v>
      </c>
      <c r="N16" s="259">
        <f t="shared" si="7"/>
        <v>0</v>
      </c>
      <c r="O16" s="10"/>
    </row>
    <row r="17">
      <c r="A17" s="245" t="s">
        <v>1557</v>
      </c>
      <c r="B17" s="263">
        <v>59.0</v>
      </c>
      <c r="C17" s="264" t="s">
        <v>2114</v>
      </c>
      <c r="D17" s="247" t="str">
        <f t="shared" si="2"/>
        <v>N/A</v>
      </c>
      <c r="E17" s="247" t="str">
        <f t="shared" si="3"/>
        <v>N/A</v>
      </c>
      <c r="F17" s="247" t="str">
        <f t="shared" si="4"/>
        <v>N/A</v>
      </c>
      <c r="G17" s="10"/>
      <c r="H17" s="265" t="s">
        <v>152</v>
      </c>
      <c r="I17" s="265">
        <v>190.0</v>
      </c>
      <c r="J17" s="155"/>
      <c r="K17" s="265" t="s">
        <v>2102</v>
      </c>
      <c r="L17" s="259">
        <f t="shared" si="5"/>
        <v>3</v>
      </c>
      <c r="M17" s="259">
        <f t="shared" si="6"/>
        <v>3</v>
      </c>
      <c r="N17" s="259">
        <f t="shared" si="7"/>
        <v>0</v>
      </c>
      <c r="O17" s="10"/>
    </row>
    <row r="18">
      <c r="A18" s="245" t="s">
        <v>538</v>
      </c>
      <c r="B18" s="247">
        <v>67.0</v>
      </c>
      <c r="C18" s="264" t="s">
        <v>2102</v>
      </c>
      <c r="D18" s="247">
        <f t="shared" si="2"/>
        <v>9</v>
      </c>
      <c r="E18" s="247">
        <f t="shared" si="3"/>
        <v>9</v>
      </c>
      <c r="F18" s="266">
        <f t="shared" si="4"/>
        <v>0</v>
      </c>
      <c r="G18" s="10"/>
      <c r="H18" s="259" t="s">
        <v>221</v>
      </c>
      <c r="I18" s="259">
        <v>190.0</v>
      </c>
      <c r="J18" s="155"/>
      <c r="K18" s="260" t="s">
        <v>2102</v>
      </c>
      <c r="L18" s="259">
        <f t="shared" si="5"/>
        <v>3</v>
      </c>
      <c r="M18" s="259">
        <f t="shared" si="6"/>
        <v>3</v>
      </c>
      <c r="N18" s="259">
        <f t="shared" si="7"/>
        <v>0</v>
      </c>
      <c r="O18" s="10"/>
    </row>
    <row r="19">
      <c r="A19" s="267" t="s">
        <v>652</v>
      </c>
      <c r="B19" s="264">
        <v>67.0</v>
      </c>
      <c r="C19" s="264" t="s">
        <v>2101</v>
      </c>
      <c r="D19" s="247">
        <f t="shared" si="2"/>
        <v>9</v>
      </c>
      <c r="E19" s="247">
        <f t="shared" si="3"/>
        <v>9</v>
      </c>
      <c r="F19" s="247">
        <f t="shared" si="4"/>
        <v>0</v>
      </c>
      <c r="G19" s="10"/>
      <c r="H19" s="265" t="s">
        <v>284</v>
      </c>
      <c r="I19" s="259">
        <v>190.0</v>
      </c>
      <c r="J19" s="155"/>
      <c r="K19" s="265" t="s">
        <v>2102</v>
      </c>
      <c r="L19" s="259">
        <f t="shared" si="5"/>
        <v>3</v>
      </c>
      <c r="M19" s="259">
        <f t="shared" si="6"/>
        <v>3</v>
      </c>
      <c r="N19" s="259">
        <f t="shared" si="7"/>
        <v>0</v>
      </c>
      <c r="O19" s="10"/>
    </row>
    <row r="20">
      <c r="A20" s="267" t="s">
        <v>407</v>
      </c>
      <c r="B20" s="247">
        <v>67.0</v>
      </c>
      <c r="C20" s="264" t="s">
        <v>2101</v>
      </c>
      <c r="D20" s="247">
        <f t="shared" si="2"/>
        <v>9</v>
      </c>
      <c r="E20" s="247">
        <f t="shared" si="3"/>
        <v>9</v>
      </c>
      <c r="F20" s="247">
        <f t="shared" si="4"/>
        <v>0</v>
      </c>
      <c r="G20" s="10"/>
      <c r="H20" s="259" t="s">
        <v>1556</v>
      </c>
      <c r="I20" s="259">
        <v>190.0</v>
      </c>
      <c r="J20" s="155"/>
      <c r="K20" s="260" t="s">
        <v>2115</v>
      </c>
      <c r="L20" s="259">
        <f t="shared" si="5"/>
        <v>3</v>
      </c>
      <c r="M20" s="259">
        <f t="shared" si="6"/>
        <v>3</v>
      </c>
      <c r="N20" s="259">
        <f t="shared" si="7"/>
        <v>0</v>
      </c>
      <c r="O20" s="10"/>
    </row>
    <row r="21">
      <c r="A21" s="245" t="s">
        <v>509</v>
      </c>
      <c r="B21" s="247">
        <v>67.0</v>
      </c>
      <c r="C21" s="264" t="s">
        <v>2101</v>
      </c>
      <c r="D21" s="247">
        <f t="shared" si="2"/>
        <v>9</v>
      </c>
      <c r="E21" s="247">
        <f t="shared" si="3"/>
        <v>9</v>
      </c>
      <c r="F21" s="247">
        <f t="shared" si="4"/>
        <v>0</v>
      </c>
      <c r="G21" s="10"/>
      <c r="H21" s="261" t="s">
        <v>319</v>
      </c>
      <c r="I21" s="261">
        <v>191.0</v>
      </c>
      <c r="J21" s="155"/>
      <c r="K21" s="260" t="s">
        <v>2102</v>
      </c>
      <c r="L21" s="259">
        <f t="shared" si="5"/>
        <v>3</v>
      </c>
      <c r="M21" s="259">
        <f t="shared" si="6"/>
        <v>3</v>
      </c>
      <c r="N21" s="259">
        <f t="shared" si="7"/>
        <v>0</v>
      </c>
      <c r="O21" s="10"/>
    </row>
    <row r="22">
      <c r="A22" s="267" t="s">
        <v>222</v>
      </c>
      <c r="B22" s="247">
        <v>70.0</v>
      </c>
      <c r="C22" s="264" t="s">
        <v>2114</v>
      </c>
      <c r="D22" s="247" t="str">
        <f t="shared" si="2"/>
        <v>N/A</v>
      </c>
      <c r="E22" s="247" t="str">
        <f t="shared" si="3"/>
        <v>N/A</v>
      </c>
      <c r="F22" s="247" t="str">
        <f t="shared" si="4"/>
        <v>N/A</v>
      </c>
      <c r="G22" s="10"/>
      <c r="H22" s="265" t="s">
        <v>318</v>
      </c>
      <c r="I22" s="260">
        <v>216.0</v>
      </c>
      <c r="J22" s="155"/>
      <c r="K22" s="260" t="s">
        <v>2102</v>
      </c>
      <c r="L22" s="259">
        <f t="shared" si="5"/>
        <v>3</v>
      </c>
      <c r="M22" s="259">
        <f t="shared" si="6"/>
        <v>3</v>
      </c>
      <c r="N22" s="259">
        <f t="shared" si="7"/>
        <v>0</v>
      </c>
      <c r="O22" s="10"/>
    </row>
    <row r="23">
      <c r="A23" s="268" t="s">
        <v>614</v>
      </c>
      <c r="B23" s="269">
        <v>75.0</v>
      </c>
      <c r="C23" s="263" t="s">
        <v>2101</v>
      </c>
      <c r="D23" s="247">
        <f t="shared" si="2"/>
        <v>8</v>
      </c>
      <c r="E23" s="247">
        <f t="shared" si="3"/>
        <v>8</v>
      </c>
      <c r="F23" s="247">
        <f t="shared" si="4"/>
        <v>0</v>
      </c>
      <c r="G23" s="10"/>
      <c r="H23" s="259" t="s">
        <v>232</v>
      </c>
      <c r="I23" s="259">
        <v>216.0</v>
      </c>
      <c r="J23" s="155"/>
      <c r="K23" s="260" t="s">
        <v>2102</v>
      </c>
      <c r="L23" s="259">
        <f t="shared" si="5"/>
        <v>3</v>
      </c>
      <c r="M23" s="259">
        <f t="shared" si="6"/>
        <v>3</v>
      </c>
      <c r="N23" s="259">
        <f t="shared" si="7"/>
        <v>0</v>
      </c>
      <c r="O23" s="10"/>
    </row>
    <row r="24">
      <c r="A24" s="267" t="s">
        <v>226</v>
      </c>
      <c r="B24" s="264">
        <v>75.0</v>
      </c>
      <c r="C24" s="264" t="s">
        <v>2101</v>
      </c>
      <c r="D24" s="247">
        <f t="shared" si="2"/>
        <v>8</v>
      </c>
      <c r="E24" s="247">
        <f t="shared" si="3"/>
        <v>8</v>
      </c>
      <c r="F24" s="247">
        <f t="shared" si="4"/>
        <v>0</v>
      </c>
      <c r="G24" s="10"/>
      <c r="H24" s="259" t="s">
        <v>192</v>
      </c>
      <c r="I24" s="259">
        <v>216.0</v>
      </c>
      <c r="J24" s="155"/>
      <c r="K24" s="260" t="s">
        <v>2102</v>
      </c>
      <c r="L24" s="259">
        <f t="shared" si="5"/>
        <v>3</v>
      </c>
      <c r="M24" s="259">
        <f t="shared" si="6"/>
        <v>3</v>
      </c>
      <c r="N24" s="259">
        <f t="shared" si="7"/>
        <v>0</v>
      </c>
      <c r="O24" s="10"/>
    </row>
    <row r="25">
      <c r="A25" s="267" t="s">
        <v>1556</v>
      </c>
      <c r="B25" s="264">
        <v>84.0</v>
      </c>
      <c r="C25" s="264" t="s">
        <v>2101</v>
      </c>
      <c r="D25" s="247">
        <f t="shared" si="2"/>
        <v>8</v>
      </c>
      <c r="E25" s="247">
        <f t="shared" si="3"/>
        <v>7</v>
      </c>
      <c r="F25" s="247">
        <f t="shared" si="4"/>
        <v>-1</v>
      </c>
      <c r="G25" s="10"/>
      <c r="H25" s="259" t="s">
        <v>1559</v>
      </c>
      <c r="I25" s="265">
        <v>252.0</v>
      </c>
      <c r="J25" s="155"/>
      <c r="K25" s="260" t="s">
        <v>2102</v>
      </c>
      <c r="L25" s="259">
        <f t="shared" si="5"/>
        <v>4</v>
      </c>
      <c r="M25" s="259">
        <f t="shared" si="6"/>
        <v>4</v>
      </c>
      <c r="N25" s="259">
        <f t="shared" si="7"/>
        <v>0</v>
      </c>
      <c r="O25" s="10"/>
    </row>
    <row r="26">
      <c r="A26" s="267" t="s">
        <v>277</v>
      </c>
      <c r="B26" s="264">
        <v>86.0</v>
      </c>
      <c r="C26" s="264" t="s">
        <v>2101</v>
      </c>
      <c r="D26" s="247">
        <f t="shared" si="2"/>
        <v>7</v>
      </c>
      <c r="E26" s="247">
        <f t="shared" si="3"/>
        <v>7</v>
      </c>
      <c r="F26" s="247">
        <f t="shared" si="4"/>
        <v>0</v>
      </c>
      <c r="G26" s="10"/>
      <c r="H26" s="265" t="s">
        <v>332</v>
      </c>
      <c r="I26" s="265">
        <v>252.0</v>
      </c>
      <c r="J26" s="155"/>
      <c r="K26" s="265" t="s">
        <v>2102</v>
      </c>
      <c r="L26" s="259">
        <f t="shared" si="5"/>
        <v>4</v>
      </c>
      <c r="M26" s="259">
        <f t="shared" si="6"/>
        <v>4</v>
      </c>
      <c r="N26" s="259">
        <f t="shared" si="7"/>
        <v>0</v>
      </c>
      <c r="O26" s="10"/>
    </row>
    <row r="27">
      <c r="A27" s="245" t="s">
        <v>1559</v>
      </c>
      <c r="B27" s="269">
        <v>89.0</v>
      </c>
      <c r="C27" s="263" t="s">
        <v>2101</v>
      </c>
      <c r="D27" s="247">
        <f t="shared" si="2"/>
        <v>7</v>
      </c>
      <c r="E27" s="247">
        <f t="shared" si="3"/>
        <v>7</v>
      </c>
      <c r="F27" s="247">
        <f t="shared" si="4"/>
        <v>0</v>
      </c>
      <c r="G27" s="10"/>
      <c r="H27" s="265" t="s">
        <v>1561</v>
      </c>
      <c r="I27" s="265">
        <v>67.0</v>
      </c>
      <c r="J27" s="32">
        <v>199.0</v>
      </c>
      <c r="K27" s="265" t="s">
        <v>2102</v>
      </c>
      <c r="L27" s="259">
        <f t="shared" si="5"/>
        <v>4</v>
      </c>
      <c r="M27" s="259">
        <f t="shared" si="6"/>
        <v>4</v>
      </c>
      <c r="N27" s="259">
        <f t="shared" si="7"/>
        <v>0</v>
      </c>
      <c r="O27" s="10"/>
    </row>
    <row r="28">
      <c r="A28" s="245" t="s">
        <v>1561</v>
      </c>
      <c r="B28" s="269">
        <v>90.0</v>
      </c>
      <c r="C28" s="263" t="s">
        <v>2102</v>
      </c>
      <c r="D28" s="247">
        <f t="shared" si="2"/>
        <v>7</v>
      </c>
      <c r="E28" s="247">
        <f t="shared" si="3"/>
        <v>7</v>
      </c>
      <c r="F28" s="247">
        <f t="shared" si="4"/>
        <v>0</v>
      </c>
      <c r="G28" s="10"/>
      <c r="H28" s="265" t="s">
        <v>123</v>
      </c>
      <c r="I28" s="265">
        <v>275.0</v>
      </c>
      <c r="J28" s="18"/>
      <c r="K28" s="265" t="s">
        <v>2102</v>
      </c>
      <c r="L28" s="259">
        <f t="shared" si="5"/>
        <v>4</v>
      </c>
      <c r="M28" s="259">
        <f t="shared" si="6"/>
        <v>4</v>
      </c>
      <c r="N28" s="259">
        <f t="shared" si="7"/>
        <v>0</v>
      </c>
      <c r="O28" s="10"/>
    </row>
    <row r="29">
      <c r="A29" s="18" t="s">
        <v>1571</v>
      </c>
      <c r="B29" s="18">
        <v>90.0</v>
      </c>
      <c r="C29" s="18" t="s">
        <v>2101</v>
      </c>
      <c r="D29" s="155">
        <f t="shared" si="2"/>
        <v>7</v>
      </c>
      <c r="E29" s="155">
        <f t="shared" si="3"/>
        <v>7</v>
      </c>
      <c r="F29" s="155">
        <f t="shared" si="4"/>
        <v>0</v>
      </c>
      <c r="G29" s="10"/>
      <c r="H29" s="261" t="s">
        <v>1562</v>
      </c>
      <c r="I29" s="265">
        <v>275.0</v>
      </c>
      <c r="J29" s="18"/>
      <c r="K29" s="265" t="s">
        <v>2102</v>
      </c>
      <c r="L29" s="259">
        <f t="shared" si="5"/>
        <v>4</v>
      </c>
      <c r="M29" s="259">
        <f t="shared" si="6"/>
        <v>4</v>
      </c>
      <c r="N29" s="259">
        <f t="shared" si="7"/>
        <v>0</v>
      </c>
      <c r="O29" s="10"/>
    </row>
    <row r="30">
      <c r="A30" s="32" t="s">
        <v>405</v>
      </c>
      <c r="B30" s="18">
        <v>90.0</v>
      </c>
      <c r="C30" s="18" t="s">
        <v>2101</v>
      </c>
      <c r="D30" s="155">
        <f t="shared" si="2"/>
        <v>7</v>
      </c>
      <c r="E30" s="155">
        <f t="shared" si="3"/>
        <v>7</v>
      </c>
      <c r="F30" s="155">
        <f t="shared" si="4"/>
        <v>0</v>
      </c>
      <c r="G30" s="10"/>
      <c r="H30" s="265" t="s">
        <v>411</v>
      </c>
      <c r="I30" s="265">
        <v>299.0</v>
      </c>
      <c r="J30" s="18"/>
      <c r="K30" s="265" t="s">
        <v>2102</v>
      </c>
      <c r="L30" s="259">
        <f t="shared" si="5"/>
        <v>4</v>
      </c>
      <c r="M30" s="259">
        <f t="shared" si="6"/>
        <v>4</v>
      </c>
      <c r="N30" s="259">
        <f t="shared" si="7"/>
        <v>0</v>
      </c>
      <c r="O30" s="10"/>
    </row>
    <row r="31">
      <c r="A31" s="18" t="s">
        <v>1558</v>
      </c>
      <c r="B31" s="18">
        <v>96.0</v>
      </c>
      <c r="C31" s="18" t="s">
        <v>2101</v>
      </c>
      <c r="D31" s="155">
        <f t="shared" si="2"/>
        <v>7</v>
      </c>
      <c r="E31" s="155">
        <f t="shared" si="3"/>
        <v>6</v>
      </c>
      <c r="F31" s="155">
        <f t="shared" si="4"/>
        <v>-1</v>
      </c>
      <c r="G31" s="10"/>
      <c r="H31" s="261" t="s">
        <v>1558</v>
      </c>
      <c r="I31" s="265">
        <v>440.0</v>
      </c>
      <c r="J31" s="155"/>
      <c r="K31" s="265" t="s">
        <v>2102</v>
      </c>
      <c r="L31" s="259">
        <f t="shared" si="5"/>
        <v>6</v>
      </c>
      <c r="M31" s="259">
        <f t="shared" si="6"/>
        <v>6</v>
      </c>
      <c r="N31" s="259">
        <f t="shared" si="7"/>
        <v>0</v>
      </c>
      <c r="O31" s="10"/>
    </row>
    <row r="32">
      <c r="A32" s="19" t="s">
        <v>324</v>
      </c>
      <c r="B32" s="18">
        <v>99.0</v>
      </c>
      <c r="C32" s="18" t="s">
        <v>2102</v>
      </c>
      <c r="D32" s="155">
        <f t="shared" si="2"/>
        <v>6</v>
      </c>
      <c r="E32" s="155">
        <f t="shared" si="3"/>
        <v>6</v>
      </c>
      <c r="F32" s="155">
        <f t="shared" si="4"/>
        <v>0</v>
      </c>
      <c r="G32" s="10"/>
      <c r="H32" s="265" t="s">
        <v>1560</v>
      </c>
      <c r="I32" s="265">
        <v>440.0</v>
      </c>
      <c r="J32" s="155"/>
      <c r="K32" s="265" t="s">
        <v>2115</v>
      </c>
      <c r="L32" s="259">
        <f t="shared" si="5"/>
        <v>6</v>
      </c>
      <c r="M32" s="259">
        <f t="shared" si="6"/>
        <v>6</v>
      </c>
      <c r="N32" s="259">
        <f t="shared" si="7"/>
        <v>0</v>
      </c>
      <c r="O32" s="10"/>
    </row>
    <row r="33">
      <c r="A33" s="18" t="s">
        <v>232</v>
      </c>
      <c r="B33" s="32">
        <v>100.0</v>
      </c>
      <c r="C33" s="18" t="s">
        <v>2101</v>
      </c>
      <c r="D33" s="155">
        <f t="shared" si="2"/>
        <v>6</v>
      </c>
      <c r="E33" s="155">
        <f t="shared" si="3"/>
        <v>6</v>
      </c>
      <c r="F33" s="155">
        <f t="shared" si="4"/>
        <v>0</v>
      </c>
      <c r="G33" s="10"/>
      <c r="H33" s="18" t="s">
        <v>303</v>
      </c>
      <c r="I33" s="18">
        <v>440.0</v>
      </c>
      <c r="J33" s="155"/>
      <c r="K33" s="18" t="s">
        <v>2115</v>
      </c>
      <c r="L33" s="259">
        <f t="shared" si="5"/>
        <v>6</v>
      </c>
      <c r="M33" s="259">
        <f t="shared" si="6"/>
        <v>6</v>
      </c>
      <c r="N33" s="259">
        <f t="shared" si="7"/>
        <v>0</v>
      </c>
      <c r="O33" s="10"/>
    </row>
    <row r="34">
      <c r="A34" s="18" t="s">
        <v>410</v>
      </c>
      <c r="B34" s="32">
        <v>105.0</v>
      </c>
      <c r="C34" s="18" t="s">
        <v>2114</v>
      </c>
      <c r="D34" s="155" t="str">
        <f t="shared" si="2"/>
        <v>N/A</v>
      </c>
      <c r="E34" s="155" t="str">
        <f t="shared" si="3"/>
        <v>N/A</v>
      </c>
      <c r="F34" s="155" t="str">
        <f t="shared" si="4"/>
        <v>N/A</v>
      </c>
      <c r="G34" s="10"/>
      <c r="H34" s="18" t="s">
        <v>126</v>
      </c>
      <c r="I34" s="18">
        <v>440.0</v>
      </c>
      <c r="J34" s="155"/>
      <c r="K34" s="18" t="s">
        <v>2114</v>
      </c>
      <c r="L34" s="259">
        <f t="shared" si="5"/>
        <v>6</v>
      </c>
      <c r="M34" s="259">
        <f t="shared" si="6"/>
        <v>6</v>
      </c>
      <c r="N34" s="259">
        <f t="shared" si="7"/>
        <v>0</v>
      </c>
      <c r="O34" s="10"/>
    </row>
    <row r="35">
      <c r="A35" s="32" t="s">
        <v>394</v>
      </c>
      <c r="B35" s="18">
        <v>110.0</v>
      </c>
      <c r="C35" s="18" t="s">
        <v>2102</v>
      </c>
      <c r="D35" s="155">
        <f t="shared" si="2"/>
        <v>6</v>
      </c>
      <c r="E35" s="155">
        <f t="shared" si="3"/>
        <v>6</v>
      </c>
      <c r="F35" s="155">
        <f t="shared" si="4"/>
        <v>0</v>
      </c>
      <c r="G35" s="10"/>
      <c r="H35" s="18" t="s">
        <v>327</v>
      </c>
      <c r="I35" s="18">
        <v>440.0</v>
      </c>
      <c r="J35" s="155"/>
      <c r="K35" s="18" t="s">
        <v>2102</v>
      </c>
      <c r="L35" s="259">
        <f t="shared" si="5"/>
        <v>6</v>
      </c>
      <c r="M35" s="259">
        <f t="shared" si="6"/>
        <v>6</v>
      </c>
      <c r="N35" s="259">
        <f t="shared" si="7"/>
        <v>0</v>
      </c>
      <c r="O35" s="10"/>
    </row>
    <row r="36">
      <c r="A36" s="18" t="s">
        <v>318</v>
      </c>
      <c r="B36" s="18">
        <v>110.0</v>
      </c>
      <c r="C36" s="18" t="s">
        <v>2101</v>
      </c>
      <c r="D36" s="155">
        <f t="shared" si="2"/>
        <v>6</v>
      </c>
      <c r="E36" s="155">
        <f t="shared" si="3"/>
        <v>6</v>
      </c>
      <c r="F36" s="155">
        <f t="shared" si="4"/>
        <v>0</v>
      </c>
      <c r="G36" s="10"/>
      <c r="H36" s="18" t="s">
        <v>200</v>
      </c>
      <c r="I36" s="18">
        <v>510.0</v>
      </c>
      <c r="J36" s="155"/>
      <c r="K36" s="18" t="s">
        <v>2115</v>
      </c>
      <c r="L36" s="259">
        <f t="shared" si="5"/>
        <v>7</v>
      </c>
      <c r="M36" s="259">
        <f t="shared" si="6"/>
        <v>7</v>
      </c>
      <c r="N36" s="259">
        <f t="shared" si="7"/>
        <v>0</v>
      </c>
      <c r="O36" s="10"/>
    </row>
    <row r="37">
      <c r="A37" s="18" t="s">
        <v>317</v>
      </c>
      <c r="B37" s="18">
        <v>110.0</v>
      </c>
      <c r="C37" s="18" t="s">
        <v>2102</v>
      </c>
      <c r="D37" s="155">
        <f t="shared" si="2"/>
        <v>6</v>
      </c>
      <c r="E37" s="155">
        <f t="shared" si="3"/>
        <v>6</v>
      </c>
      <c r="F37" s="155">
        <f t="shared" si="4"/>
        <v>0</v>
      </c>
      <c r="G37" s="10"/>
      <c r="H37" s="18" t="s">
        <v>400</v>
      </c>
      <c r="I37" s="18">
        <v>520.0</v>
      </c>
      <c r="J37" s="155"/>
      <c r="K37" s="18" t="s">
        <v>2102</v>
      </c>
      <c r="L37" s="259">
        <f t="shared" si="5"/>
        <v>7</v>
      </c>
      <c r="M37" s="259">
        <f t="shared" si="6"/>
        <v>7</v>
      </c>
      <c r="N37" s="259">
        <f t="shared" si="7"/>
        <v>0</v>
      </c>
      <c r="O37" s="10"/>
    </row>
    <row r="38">
      <c r="A38" s="18" t="s">
        <v>399</v>
      </c>
      <c r="B38" s="18">
        <v>110.0</v>
      </c>
      <c r="C38" s="18" t="s">
        <v>2101</v>
      </c>
      <c r="D38" s="155">
        <f t="shared" si="2"/>
        <v>6</v>
      </c>
      <c r="E38" s="155">
        <f t="shared" si="3"/>
        <v>6</v>
      </c>
      <c r="F38" s="155">
        <f t="shared" si="4"/>
        <v>0</v>
      </c>
      <c r="G38" s="10"/>
      <c r="H38" s="265" t="s">
        <v>146</v>
      </c>
      <c r="I38" s="265">
        <v>555.0</v>
      </c>
      <c r="J38" s="155"/>
      <c r="K38" s="260" t="s">
        <v>2102</v>
      </c>
      <c r="L38" s="259">
        <f t="shared" si="5"/>
        <v>8</v>
      </c>
      <c r="M38" s="259">
        <f t="shared" si="6"/>
        <v>8</v>
      </c>
      <c r="N38" s="259">
        <f t="shared" si="7"/>
        <v>0</v>
      </c>
      <c r="O38" s="10"/>
    </row>
    <row r="39">
      <c r="A39" s="18" t="s">
        <v>327</v>
      </c>
      <c r="B39" s="18">
        <v>111.0</v>
      </c>
      <c r="C39" s="18" t="s">
        <v>2101</v>
      </c>
      <c r="D39" s="155">
        <f t="shared" si="2"/>
        <v>6</v>
      </c>
      <c r="E39" s="155">
        <f t="shared" si="3"/>
        <v>6</v>
      </c>
      <c r="F39" s="155">
        <f t="shared" si="4"/>
        <v>0</v>
      </c>
      <c r="G39" s="10"/>
      <c r="H39" s="265" t="s">
        <v>399</v>
      </c>
      <c r="I39" s="265">
        <v>560.0</v>
      </c>
      <c r="J39" s="155"/>
      <c r="K39" s="260" t="s">
        <v>2102</v>
      </c>
      <c r="L39" s="259">
        <f t="shared" si="5"/>
        <v>8</v>
      </c>
      <c r="M39" s="259">
        <f t="shared" si="6"/>
        <v>8</v>
      </c>
      <c r="N39" s="259">
        <f t="shared" si="7"/>
        <v>0</v>
      </c>
      <c r="O39" s="10"/>
    </row>
    <row r="40">
      <c r="A40" s="18" t="s">
        <v>190</v>
      </c>
      <c r="B40" s="18">
        <v>111.0</v>
      </c>
      <c r="C40" s="18" t="s">
        <v>2101</v>
      </c>
      <c r="D40" s="155">
        <f t="shared" si="2"/>
        <v>6</v>
      </c>
      <c r="E40" s="155">
        <f t="shared" si="3"/>
        <v>6</v>
      </c>
      <c r="F40" s="155">
        <f t="shared" si="4"/>
        <v>0</v>
      </c>
      <c r="G40" s="10"/>
      <c r="H40" s="265" t="s">
        <v>226</v>
      </c>
      <c r="I40" s="265">
        <v>569.0</v>
      </c>
      <c r="J40" s="155"/>
      <c r="K40" s="260" t="s">
        <v>2102</v>
      </c>
      <c r="L40" s="259">
        <f t="shared" si="5"/>
        <v>8</v>
      </c>
      <c r="M40" s="259">
        <f t="shared" si="6"/>
        <v>8</v>
      </c>
      <c r="N40" s="259">
        <f t="shared" si="7"/>
        <v>0</v>
      </c>
      <c r="O40" s="10"/>
    </row>
    <row r="41">
      <c r="A41" s="18" t="s">
        <v>395</v>
      </c>
      <c r="B41" s="18">
        <v>123.0</v>
      </c>
      <c r="C41" s="18" t="s">
        <v>2102</v>
      </c>
      <c r="D41" s="155">
        <f t="shared" si="2"/>
        <v>5</v>
      </c>
      <c r="E41" s="155">
        <f t="shared" si="3"/>
        <v>5</v>
      </c>
      <c r="F41" s="155">
        <f t="shared" si="4"/>
        <v>0</v>
      </c>
      <c r="G41" s="10"/>
      <c r="H41" s="265" t="s">
        <v>289</v>
      </c>
      <c r="I41" s="265">
        <v>590.0</v>
      </c>
      <c r="J41" s="155"/>
      <c r="K41" s="260" t="s">
        <v>2102</v>
      </c>
      <c r="L41" s="259">
        <f t="shared" si="5"/>
        <v>8</v>
      </c>
      <c r="M41" s="259">
        <f t="shared" si="6"/>
        <v>8</v>
      </c>
      <c r="N41" s="259">
        <f t="shared" si="7"/>
        <v>0</v>
      </c>
      <c r="O41" s="10"/>
    </row>
    <row r="42">
      <c r="A42" s="18" t="s">
        <v>1560</v>
      </c>
      <c r="B42" s="19">
        <v>133.0</v>
      </c>
      <c r="C42" s="18" t="s">
        <v>2101</v>
      </c>
      <c r="D42" s="155">
        <f t="shared" si="2"/>
        <v>5</v>
      </c>
      <c r="E42" s="155">
        <f t="shared" si="3"/>
        <v>5</v>
      </c>
      <c r="F42" s="155">
        <f t="shared" si="4"/>
        <v>0</v>
      </c>
      <c r="G42" s="10"/>
      <c r="H42" s="265" t="s">
        <v>410</v>
      </c>
      <c r="I42" s="260">
        <v>598.0</v>
      </c>
      <c r="J42" s="155"/>
      <c r="K42" s="260" t="s">
        <v>2102</v>
      </c>
      <c r="L42" s="259">
        <f t="shared" si="5"/>
        <v>8</v>
      </c>
      <c r="M42" s="259">
        <f t="shared" si="6"/>
        <v>8</v>
      </c>
      <c r="N42" s="259">
        <f t="shared" si="7"/>
        <v>0</v>
      </c>
      <c r="O42" s="10"/>
    </row>
    <row r="43">
      <c r="A43" s="155" t="s">
        <v>130</v>
      </c>
      <c r="B43" s="155">
        <v>133.0</v>
      </c>
      <c r="C43" s="18" t="s">
        <v>2101</v>
      </c>
      <c r="D43" s="155">
        <f t="shared" si="2"/>
        <v>5</v>
      </c>
      <c r="E43" s="155">
        <f t="shared" si="3"/>
        <v>5</v>
      </c>
      <c r="F43" s="155">
        <f t="shared" si="4"/>
        <v>0</v>
      </c>
      <c r="G43" s="10"/>
      <c r="H43" s="260" t="s">
        <v>105</v>
      </c>
      <c r="I43" s="259">
        <v>598.0</v>
      </c>
      <c r="J43" s="155"/>
      <c r="K43" s="260" t="s">
        <v>2102</v>
      </c>
      <c r="L43" s="259">
        <f t="shared" si="5"/>
        <v>8</v>
      </c>
      <c r="M43" s="259">
        <f t="shared" si="6"/>
        <v>8</v>
      </c>
      <c r="N43" s="259">
        <f t="shared" si="7"/>
        <v>0</v>
      </c>
      <c r="O43" s="10"/>
    </row>
    <row r="44">
      <c r="A44" s="19" t="s">
        <v>192</v>
      </c>
      <c r="B44" s="19">
        <v>140.0</v>
      </c>
      <c r="C44" s="18" t="s">
        <v>2101</v>
      </c>
      <c r="D44" s="155">
        <f t="shared" si="2"/>
        <v>5</v>
      </c>
      <c r="E44" s="155">
        <f t="shared" si="3"/>
        <v>5</v>
      </c>
      <c r="F44" s="155">
        <f t="shared" si="4"/>
        <v>0</v>
      </c>
      <c r="G44" s="10"/>
      <c r="H44" s="259" t="s">
        <v>177</v>
      </c>
      <c r="I44" s="265">
        <v>598.0</v>
      </c>
      <c r="J44" s="155"/>
      <c r="K44" s="260" t="s">
        <v>2102</v>
      </c>
      <c r="L44" s="259">
        <f t="shared" si="5"/>
        <v>8</v>
      </c>
      <c r="M44" s="259">
        <f t="shared" si="6"/>
        <v>8</v>
      </c>
      <c r="N44" s="259">
        <f t="shared" si="7"/>
        <v>0</v>
      </c>
      <c r="O44" s="10"/>
    </row>
    <row r="45">
      <c r="A45" s="32" t="s">
        <v>200</v>
      </c>
      <c r="B45" s="32">
        <v>142.0</v>
      </c>
      <c r="C45" s="18" t="s">
        <v>2101</v>
      </c>
      <c r="D45" s="155">
        <f t="shared" si="2"/>
        <v>5</v>
      </c>
      <c r="E45" s="155">
        <f t="shared" si="3"/>
        <v>5</v>
      </c>
      <c r="F45" s="155">
        <f t="shared" si="4"/>
        <v>0</v>
      </c>
      <c r="G45" s="10"/>
      <c r="H45" s="18" t="s">
        <v>394</v>
      </c>
      <c r="I45" s="18">
        <v>440.0</v>
      </c>
      <c r="J45" s="18">
        <v>199.0</v>
      </c>
      <c r="K45" s="18" t="s">
        <v>2102</v>
      </c>
      <c r="L45" s="259">
        <f t="shared" si="5"/>
        <v>9</v>
      </c>
      <c r="M45" s="259">
        <f t="shared" si="6"/>
        <v>9</v>
      </c>
      <c r="N45" s="259">
        <f t="shared" si="7"/>
        <v>0</v>
      </c>
      <c r="O45" s="10"/>
    </row>
    <row r="46">
      <c r="A46" s="18" t="s">
        <v>236</v>
      </c>
      <c r="B46" s="18">
        <v>146.0</v>
      </c>
      <c r="C46" s="18" t="s">
        <v>2114</v>
      </c>
      <c r="D46" s="155" t="str">
        <f t="shared" si="2"/>
        <v>N/A</v>
      </c>
      <c r="E46" s="155" t="str">
        <f t="shared" si="3"/>
        <v>N/A</v>
      </c>
      <c r="F46" s="155" t="str">
        <f t="shared" si="4"/>
        <v>N/A</v>
      </c>
      <c r="G46" s="10"/>
      <c r="H46" s="265" t="s">
        <v>1557</v>
      </c>
      <c r="I46" s="265">
        <v>695.0</v>
      </c>
      <c r="J46" s="155"/>
      <c r="K46" s="260" t="s">
        <v>2102</v>
      </c>
      <c r="L46" s="259">
        <f t="shared" si="5"/>
        <v>10</v>
      </c>
      <c r="M46" s="259">
        <f t="shared" si="6"/>
        <v>10</v>
      </c>
      <c r="N46" s="259">
        <f t="shared" si="7"/>
        <v>0</v>
      </c>
      <c r="O46" s="10"/>
    </row>
    <row r="47">
      <c r="A47" s="19" t="s">
        <v>146</v>
      </c>
      <c r="B47" s="19">
        <v>159.0</v>
      </c>
      <c r="C47" s="18" t="s">
        <v>2102</v>
      </c>
      <c r="D47" s="155">
        <f t="shared" si="2"/>
        <v>4</v>
      </c>
      <c r="E47" s="155">
        <f t="shared" si="3"/>
        <v>4</v>
      </c>
      <c r="F47" s="155">
        <f t="shared" si="4"/>
        <v>0</v>
      </c>
      <c r="G47" s="10"/>
      <c r="H47" s="259" t="s">
        <v>142</v>
      </c>
      <c r="I47" s="259">
        <v>695.0</v>
      </c>
      <c r="J47" s="155"/>
      <c r="K47" s="260" t="s">
        <v>2115</v>
      </c>
      <c r="L47" s="259">
        <f t="shared" si="5"/>
        <v>10</v>
      </c>
      <c r="M47" s="259">
        <f t="shared" si="6"/>
        <v>10</v>
      </c>
      <c r="N47" s="259">
        <f t="shared" si="7"/>
        <v>0</v>
      </c>
      <c r="O47" s="10"/>
    </row>
    <row r="48">
      <c r="A48" s="32" t="s">
        <v>288</v>
      </c>
      <c r="B48" s="32">
        <v>159.0</v>
      </c>
      <c r="C48" s="18" t="s">
        <v>2101</v>
      </c>
      <c r="D48" s="155">
        <f t="shared" si="2"/>
        <v>4</v>
      </c>
      <c r="E48" s="155">
        <f t="shared" si="3"/>
        <v>4</v>
      </c>
      <c r="F48" s="155">
        <f t="shared" si="4"/>
        <v>0</v>
      </c>
      <c r="G48" s="10"/>
      <c r="H48" s="265" t="s">
        <v>190</v>
      </c>
      <c r="I48" s="265">
        <v>696.0</v>
      </c>
      <c r="J48" s="155"/>
      <c r="K48" s="265" t="s">
        <v>2102</v>
      </c>
      <c r="L48" s="259">
        <f t="shared" si="5"/>
        <v>10</v>
      </c>
      <c r="M48" s="259">
        <f t="shared" si="6"/>
        <v>10</v>
      </c>
      <c r="N48" s="259">
        <f t="shared" si="7"/>
        <v>0</v>
      </c>
      <c r="O48" s="10"/>
    </row>
    <row r="49">
      <c r="A49" s="18" t="s">
        <v>287</v>
      </c>
      <c r="B49" s="18">
        <v>159.0</v>
      </c>
      <c r="C49" s="18" t="s">
        <v>2114</v>
      </c>
      <c r="D49" s="155" t="str">
        <f t="shared" si="2"/>
        <v>N/A</v>
      </c>
      <c r="E49" s="155" t="str">
        <f t="shared" si="3"/>
        <v>N/A</v>
      </c>
      <c r="F49" s="155" t="str">
        <f t="shared" si="4"/>
        <v>N/A</v>
      </c>
      <c r="G49" s="10"/>
      <c r="H49" s="265" t="s">
        <v>256</v>
      </c>
      <c r="I49" s="265">
        <v>700.0</v>
      </c>
      <c r="J49" s="155"/>
      <c r="K49" s="265" t="s">
        <v>2102</v>
      </c>
      <c r="L49" s="259">
        <f t="shared" si="5"/>
        <v>10</v>
      </c>
      <c r="M49" s="259">
        <f t="shared" si="6"/>
        <v>10</v>
      </c>
      <c r="N49" s="259">
        <f t="shared" si="7"/>
        <v>0</v>
      </c>
      <c r="O49" s="10"/>
    </row>
    <row r="50">
      <c r="A50" s="18" t="s">
        <v>180</v>
      </c>
      <c r="B50" s="19">
        <v>160.0</v>
      </c>
      <c r="C50" s="18" t="s">
        <v>2102</v>
      </c>
      <c r="D50" s="155">
        <f t="shared" si="2"/>
        <v>4</v>
      </c>
      <c r="E50" s="155">
        <f t="shared" si="3"/>
        <v>4</v>
      </c>
      <c r="F50" s="155">
        <f t="shared" si="4"/>
        <v>0</v>
      </c>
      <c r="G50" s="10"/>
      <c r="H50" s="18" t="s">
        <v>401</v>
      </c>
      <c r="I50" s="18">
        <v>720.0</v>
      </c>
      <c r="J50" s="155"/>
      <c r="K50" s="18" t="s">
        <v>2102</v>
      </c>
      <c r="L50" s="259">
        <f t="shared" si="5"/>
        <v>10</v>
      </c>
      <c r="M50" s="259">
        <f t="shared" si="6"/>
        <v>10</v>
      </c>
      <c r="N50" s="259">
        <f t="shared" si="7"/>
        <v>0</v>
      </c>
      <c r="O50" s="10"/>
    </row>
    <row r="51">
      <c r="A51" s="18" t="s">
        <v>328</v>
      </c>
      <c r="B51" s="155">
        <v>160.0</v>
      </c>
      <c r="C51" s="18" t="s">
        <v>2102</v>
      </c>
      <c r="D51" s="155">
        <f t="shared" si="2"/>
        <v>4</v>
      </c>
      <c r="E51" s="155">
        <f t="shared" si="3"/>
        <v>4</v>
      </c>
      <c r="F51" s="155">
        <f t="shared" si="4"/>
        <v>0</v>
      </c>
      <c r="G51" s="10"/>
      <c r="H51" s="18" t="s">
        <v>398</v>
      </c>
      <c r="I51" s="18">
        <v>742.0</v>
      </c>
      <c r="J51" s="155"/>
      <c r="K51" s="18" t="s">
        <v>2102</v>
      </c>
      <c r="L51" s="259">
        <f t="shared" si="5"/>
        <v>10</v>
      </c>
      <c r="M51" s="259">
        <f t="shared" si="6"/>
        <v>10</v>
      </c>
      <c r="N51" s="259">
        <f t="shared" si="7"/>
        <v>0</v>
      </c>
      <c r="O51" s="10"/>
    </row>
    <row r="52">
      <c r="A52" s="18" t="s">
        <v>401</v>
      </c>
      <c r="B52" s="18">
        <v>160.0</v>
      </c>
      <c r="C52" s="18" t="s">
        <v>2102</v>
      </c>
      <c r="D52" s="155">
        <f t="shared" si="2"/>
        <v>4</v>
      </c>
      <c r="E52" s="155">
        <f t="shared" si="3"/>
        <v>4</v>
      </c>
      <c r="F52" s="155">
        <f t="shared" si="4"/>
        <v>0</v>
      </c>
      <c r="G52" s="10"/>
      <c r="H52" s="261" t="s">
        <v>856</v>
      </c>
      <c r="I52" s="261">
        <v>742.0</v>
      </c>
      <c r="J52" s="155"/>
      <c r="K52" s="265" t="s">
        <v>2114</v>
      </c>
      <c r="L52" s="259">
        <f t="shared" si="5"/>
        <v>10</v>
      </c>
      <c r="M52" s="259">
        <f t="shared" si="6"/>
        <v>10</v>
      </c>
      <c r="N52" s="259">
        <f t="shared" si="7"/>
        <v>0</v>
      </c>
      <c r="O52" s="10"/>
    </row>
    <row r="53">
      <c r="A53" s="18" t="s">
        <v>97</v>
      </c>
      <c r="B53" s="18">
        <v>167.0</v>
      </c>
      <c r="C53" s="18" t="s">
        <v>2102</v>
      </c>
      <c r="D53" s="155">
        <f t="shared" si="2"/>
        <v>4</v>
      </c>
      <c r="E53" s="155">
        <f t="shared" si="3"/>
        <v>4</v>
      </c>
      <c r="F53" s="155">
        <f t="shared" si="4"/>
        <v>0</v>
      </c>
      <c r="G53" s="10"/>
      <c r="H53" s="259" t="s">
        <v>136</v>
      </c>
      <c r="I53" s="260">
        <v>742.0</v>
      </c>
      <c r="J53" s="155"/>
      <c r="K53" s="260" t="s">
        <v>2114</v>
      </c>
      <c r="L53" s="259">
        <f t="shared" si="5"/>
        <v>10</v>
      </c>
      <c r="M53" s="259">
        <f t="shared" si="6"/>
        <v>10</v>
      </c>
      <c r="N53" s="259">
        <f t="shared" si="7"/>
        <v>0</v>
      </c>
      <c r="O53" s="10"/>
    </row>
    <row r="54">
      <c r="A54" s="18" t="s">
        <v>136</v>
      </c>
      <c r="B54" s="18">
        <v>175.0</v>
      </c>
      <c r="C54" s="18" t="s">
        <v>2102</v>
      </c>
      <c r="D54" s="155">
        <f t="shared" si="2"/>
        <v>4</v>
      </c>
      <c r="E54" s="155">
        <f t="shared" si="3"/>
        <v>4</v>
      </c>
      <c r="F54" s="155">
        <f t="shared" si="4"/>
        <v>0</v>
      </c>
      <c r="G54" s="10"/>
      <c r="H54" s="259" t="s">
        <v>388</v>
      </c>
      <c r="I54" s="259">
        <v>750.0</v>
      </c>
      <c r="J54" s="155"/>
      <c r="K54" s="260" t="s">
        <v>2102</v>
      </c>
      <c r="L54" s="259">
        <f t="shared" si="5"/>
        <v>10</v>
      </c>
      <c r="M54" s="259">
        <f t="shared" si="6"/>
        <v>10</v>
      </c>
      <c r="N54" s="259">
        <f t="shared" si="7"/>
        <v>0</v>
      </c>
      <c r="O54" s="10"/>
    </row>
    <row r="55">
      <c r="A55" s="18" t="s">
        <v>398</v>
      </c>
      <c r="B55" s="18">
        <v>176.0</v>
      </c>
      <c r="C55" s="18" t="s">
        <v>2102</v>
      </c>
      <c r="D55" s="155">
        <f t="shared" si="2"/>
        <v>4</v>
      </c>
      <c r="E55" s="155">
        <f t="shared" si="3"/>
        <v>4</v>
      </c>
      <c r="F55" s="155">
        <f t="shared" si="4"/>
        <v>0</v>
      </c>
      <c r="G55" s="10"/>
      <c r="H55" s="260" t="s">
        <v>144</v>
      </c>
      <c r="I55" s="260">
        <v>756.0</v>
      </c>
      <c r="J55" s="155"/>
      <c r="K55" s="260" t="s">
        <v>2102</v>
      </c>
      <c r="L55" s="259">
        <f t="shared" si="5"/>
        <v>11</v>
      </c>
      <c r="M55" s="259">
        <f t="shared" si="6"/>
        <v>11</v>
      </c>
      <c r="N55" s="259">
        <f t="shared" si="7"/>
        <v>0</v>
      </c>
      <c r="O55" s="10"/>
    </row>
    <row r="56">
      <c r="A56" s="18" t="s">
        <v>856</v>
      </c>
      <c r="B56" s="18">
        <v>176.0</v>
      </c>
      <c r="C56" s="18" t="s">
        <v>2102</v>
      </c>
      <c r="D56" s="155">
        <f t="shared" si="2"/>
        <v>4</v>
      </c>
      <c r="E56" s="155">
        <f t="shared" si="3"/>
        <v>4</v>
      </c>
      <c r="F56" s="155">
        <f t="shared" si="4"/>
        <v>0</v>
      </c>
      <c r="G56" s="10"/>
      <c r="H56" s="265" t="s">
        <v>328</v>
      </c>
      <c r="I56" s="265">
        <v>780.0</v>
      </c>
      <c r="J56" s="155"/>
      <c r="K56" s="260" t="s">
        <v>2102</v>
      </c>
      <c r="L56" s="259">
        <f t="shared" si="5"/>
        <v>11</v>
      </c>
      <c r="M56" s="259">
        <f t="shared" si="6"/>
        <v>11</v>
      </c>
      <c r="N56" s="259">
        <f t="shared" si="7"/>
        <v>0</v>
      </c>
      <c r="O56" s="10"/>
    </row>
    <row r="57">
      <c r="A57" s="19" t="s">
        <v>105</v>
      </c>
      <c r="B57" s="18">
        <v>181.0</v>
      </c>
      <c r="C57" s="18" t="s">
        <v>2101</v>
      </c>
      <c r="D57" s="155">
        <f t="shared" si="2"/>
        <v>4</v>
      </c>
      <c r="E57" s="155">
        <f t="shared" si="3"/>
        <v>4</v>
      </c>
      <c r="F57" s="155">
        <f t="shared" si="4"/>
        <v>0</v>
      </c>
      <c r="G57" s="10"/>
      <c r="H57" s="265" t="s">
        <v>288</v>
      </c>
      <c r="I57" s="265">
        <v>790.0</v>
      </c>
      <c r="J57" s="155"/>
      <c r="K57" s="265" t="s">
        <v>2115</v>
      </c>
      <c r="L57" s="259">
        <f t="shared" si="5"/>
        <v>11</v>
      </c>
      <c r="M57" s="259">
        <f t="shared" si="6"/>
        <v>11</v>
      </c>
      <c r="N57" s="259">
        <f t="shared" si="7"/>
        <v>0</v>
      </c>
      <c r="O57" s="10"/>
    </row>
    <row r="58">
      <c r="A58" s="32" t="s">
        <v>289</v>
      </c>
      <c r="B58" s="32">
        <v>182.0</v>
      </c>
      <c r="C58" s="18" t="s">
        <v>2101</v>
      </c>
      <c r="D58" s="155">
        <f t="shared" si="2"/>
        <v>4</v>
      </c>
      <c r="E58" s="155">
        <f t="shared" si="3"/>
        <v>4</v>
      </c>
      <c r="F58" s="155">
        <f t="shared" si="4"/>
        <v>0</v>
      </c>
      <c r="G58" s="10"/>
      <c r="H58" s="265" t="s">
        <v>116</v>
      </c>
      <c r="I58" s="265">
        <v>800.0</v>
      </c>
      <c r="J58" s="155"/>
      <c r="K58" s="265" t="s">
        <v>2114</v>
      </c>
      <c r="L58" s="259">
        <f t="shared" si="5"/>
        <v>11</v>
      </c>
      <c r="M58" s="259">
        <f t="shared" si="6"/>
        <v>11</v>
      </c>
      <c r="N58" s="259">
        <f t="shared" si="7"/>
        <v>0</v>
      </c>
      <c r="O58" s="10"/>
    </row>
    <row r="59">
      <c r="A59" s="18" t="s">
        <v>123</v>
      </c>
      <c r="B59" s="18">
        <v>184.0</v>
      </c>
      <c r="C59" s="18" t="s">
        <v>2102</v>
      </c>
      <c r="D59" s="155">
        <f t="shared" si="2"/>
        <v>4</v>
      </c>
      <c r="E59" s="155">
        <f t="shared" si="3"/>
        <v>4</v>
      </c>
      <c r="F59" s="155">
        <f t="shared" si="4"/>
        <v>0</v>
      </c>
      <c r="G59" s="10"/>
      <c r="H59" s="265" t="s">
        <v>253</v>
      </c>
      <c r="I59" s="265">
        <v>844.0</v>
      </c>
      <c r="J59" s="155"/>
      <c r="K59" s="265" t="s">
        <v>2114</v>
      </c>
      <c r="L59" s="259">
        <f t="shared" si="5"/>
        <v>12</v>
      </c>
      <c r="M59" s="259">
        <f t="shared" si="6"/>
        <v>12</v>
      </c>
      <c r="N59" s="259">
        <f t="shared" si="7"/>
        <v>0</v>
      </c>
      <c r="O59" s="10"/>
    </row>
    <row r="60">
      <c r="A60" s="18" t="s">
        <v>306</v>
      </c>
      <c r="B60" s="18">
        <v>184.0</v>
      </c>
      <c r="C60" s="18" t="s">
        <v>2102</v>
      </c>
      <c r="D60" s="155">
        <f t="shared" si="2"/>
        <v>4</v>
      </c>
      <c r="E60" s="155">
        <f t="shared" si="3"/>
        <v>4</v>
      </c>
      <c r="F60" s="155">
        <f t="shared" si="4"/>
        <v>0</v>
      </c>
      <c r="G60" s="10"/>
      <c r="H60" s="261" t="s">
        <v>230</v>
      </c>
      <c r="I60" s="261">
        <v>844.0</v>
      </c>
      <c r="J60" s="155"/>
      <c r="K60" s="265" t="s">
        <v>2114</v>
      </c>
      <c r="L60" s="259">
        <f t="shared" si="5"/>
        <v>12</v>
      </c>
      <c r="M60" s="259">
        <f t="shared" si="6"/>
        <v>12</v>
      </c>
      <c r="N60" s="259">
        <f t="shared" si="7"/>
        <v>0</v>
      </c>
      <c r="O60" s="10"/>
    </row>
    <row r="61">
      <c r="A61" s="32" t="s">
        <v>282</v>
      </c>
      <c r="B61" s="18">
        <v>190.0</v>
      </c>
      <c r="C61" s="18" t="s">
        <v>2101</v>
      </c>
      <c r="D61" s="155">
        <f t="shared" si="2"/>
        <v>4</v>
      </c>
      <c r="E61" s="155">
        <f t="shared" si="3"/>
        <v>3</v>
      </c>
      <c r="F61" s="155">
        <f t="shared" si="4"/>
        <v>-1</v>
      </c>
      <c r="G61" s="10"/>
      <c r="H61" s="265" t="s">
        <v>118</v>
      </c>
      <c r="I61" s="265">
        <v>853.0</v>
      </c>
      <c r="J61" s="155"/>
      <c r="K61" s="265" t="s">
        <v>2102</v>
      </c>
      <c r="L61" s="259">
        <f t="shared" si="5"/>
        <v>12</v>
      </c>
      <c r="M61" s="259">
        <f t="shared" si="6"/>
        <v>12</v>
      </c>
      <c r="N61" s="259">
        <f t="shared" si="7"/>
        <v>0</v>
      </c>
      <c r="O61" s="10"/>
    </row>
    <row r="62">
      <c r="A62" s="19" t="s">
        <v>389</v>
      </c>
      <c r="B62" s="19">
        <v>200.0</v>
      </c>
      <c r="C62" s="18" t="s">
        <v>2102</v>
      </c>
      <c r="D62" s="155">
        <f t="shared" si="2"/>
        <v>3</v>
      </c>
      <c r="E62" s="155">
        <f t="shared" si="3"/>
        <v>3</v>
      </c>
      <c r="F62" s="155">
        <f t="shared" si="4"/>
        <v>0</v>
      </c>
      <c r="G62" s="10"/>
      <c r="H62" s="259" t="s">
        <v>408</v>
      </c>
      <c r="I62" s="259">
        <v>864.0</v>
      </c>
      <c r="J62" s="155"/>
      <c r="K62" s="260" t="s">
        <v>2102</v>
      </c>
      <c r="L62" s="259">
        <f t="shared" si="5"/>
        <v>12</v>
      </c>
      <c r="M62" s="259">
        <f t="shared" si="6"/>
        <v>12</v>
      </c>
      <c r="N62" s="259">
        <f t="shared" si="7"/>
        <v>0</v>
      </c>
      <c r="O62" s="10"/>
    </row>
    <row r="63">
      <c r="A63" s="32" t="s">
        <v>213</v>
      </c>
      <c r="B63" s="18">
        <v>206.0</v>
      </c>
      <c r="C63" s="18" t="s">
        <v>2102</v>
      </c>
      <c r="D63" s="155">
        <f t="shared" si="2"/>
        <v>3</v>
      </c>
      <c r="E63" s="155">
        <f t="shared" si="3"/>
        <v>3</v>
      </c>
      <c r="F63" s="155">
        <f t="shared" si="4"/>
        <v>0</v>
      </c>
      <c r="G63" s="10"/>
      <c r="H63" s="265" t="s">
        <v>320</v>
      </c>
      <c r="I63" s="265">
        <v>888.0</v>
      </c>
      <c r="J63" s="155"/>
      <c r="K63" s="260" t="s">
        <v>2114</v>
      </c>
      <c r="L63" s="259">
        <f t="shared" si="5"/>
        <v>12</v>
      </c>
      <c r="M63" s="259">
        <f t="shared" si="6"/>
        <v>12</v>
      </c>
      <c r="N63" s="259">
        <f t="shared" si="7"/>
        <v>0</v>
      </c>
      <c r="O63" s="10"/>
    </row>
    <row r="64">
      <c r="A64" s="18" t="s">
        <v>361</v>
      </c>
      <c r="B64" s="18">
        <v>211.0</v>
      </c>
      <c r="C64" s="18" t="s">
        <v>2114</v>
      </c>
      <c r="D64" s="155" t="str">
        <f t="shared" si="2"/>
        <v>N/A</v>
      </c>
      <c r="E64" s="155" t="str">
        <f t="shared" si="3"/>
        <v>N/A</v>
      </c>
      <c r="F64" s="155" t="str">
        <f t="shared" si="4"/>
        <v>N/A</v>
      </c>
      <c r="G64" s="10"/>
      <c r="H64" s="259" t="s">
        <v>282</v>
      </c>
      <c r="I64" s="259">
        <v>954.0</v>
      </c>
      <c r="J64" s="155"/>
      <c r="K64" s="260" t="s">
        <v>2114</v>
      </c>
      <c r="L64" s="259">
        <f t="shared" si="5"/>
        <v>13</v>
      </c>
      <c r="M64" s="259">
        <f t="shared" si="6"/>
        <v>13</v>
      </c>
      <c r="N64" s="259">
        <f t="shared" si="7"/>
        <v>0</v>
      </c>
      <c r="O64" s="10"/>
    </row>
    <row r="65">
      <c r="A65" s="19" t="s">
        <v>107</v>
      </c>
      <c r="B65" s="19">
        <v>211.0</v>
      </c>
      <c r="C65" s="18" t="s">
        <v>2114</v>
      </c>
      <c r="D65" s="155" t="str">
        <f t="shared" si="2"/>
        <v>N/A</v>
      </c>
      <c r="E65" s="155" t="str">
        <f t="shared" si="3"/>
        <v>N/A</v>
      </c>
      <c r="F65" s="155" t="str">
        <f t="shared" si="4"/>
        <v>N/A</v>
      </c>
      <c r="G65" s="10"/>
      <c r="H65" s="261" t="s">
        <v>130</v>
      </c>
      <c r="I65" s="261">
        <v>957.0</v>
      </c>
      <c r="J65" s="155"/>
      <c r="K65" s="265" t="s">
        <v>2115</v>
      </c>
      <c r="L65" s="259">
        <f t="shared" si="5"/>
        <v>13</v>
      </c>
      <c r="M65" s="259">
        <f t="shared" si="6"/>
        <v>13</v>
      </c>
      <c r="N65" s="259">
        <f t="shared" si="7"/>
        <v>0</v>
      </c>
      <c r="O65" s="10"/>
    </row>
    <row r="66">
      <c r="A66" s="32" t="s">
        <v>313</v>
      </c>
      <c r="B66" s="32">
        <v>216.0</v>
      </c>
      <c r="C66" s="18" t="s">
        <v>2102</v>
      </c>
      <c r="D66" s="155">
        <f t="shared" si="2"/>
        <v>3</v>
      </c>
      <c r="E66" s="155">
        <f t="shared" si="3"/>
        <v>3</v>
      </c>
      <c r="F66" s="155">
        <f t="shared" si="4"/>
        <v>0</v>
      </c>
      <c r="G66" s="10"/>
      <c r="H66" s="261" t="s">
        <v>222</v>
      </c>
      <c r="I66" s="261">
        <v>994.0</v>
      </c>
      <c r="J66" s="155"/>
      <c r="K66" s="260" t="s">
        <v>2102</v>
      </c>
      <c r="L66" s="259">
        <f t="shared" si="5"/>
        <v>14</v>
      </c>
      <c r="M66" s="259">
        <f t="shared" si="6"/>
        <v>14</v>
      </c>
      <c r="N66" s="259">
        <f t="shared" si="7"/>
        <v>0</v>
      </c>
      <c r="O66" s="10"/>
    </row>
    <row r="67">
      <c r="A67" s="18" t="s">
        <v>196</v>
      </c>
      <c r="B67" s="18">
        <v>220.0</v>
      </c>
      <c r="C67" s="18" t="s">
        <v>2102</v>
      </c>
      <c r="D67" s="155">
        <f t="shared" si="2"/>
        <v>3</v>
      </c>
      <c r="E67" s="155">
        <f t="shared" si="3"/>
        <v>3</v>
      </c>
      <c r="F67" s="155">
        <f t="shared" si="4"/>
        <v>0</v>
      </c>
      <c r="G67" s="10"/>
      <c r="H67" s="260" t="s">
        <v>180</v>
      </c>
      <c r="I67" s="260">
        <v>1000.0</v>
      </c>
      <c r="J67" s="155"/>
      <c r="K67" s="260" t="s">
        <v>2102</v>
      </c>
      <c r="L67" s="259">
        <f t="shared" si="5"/>
        <v>14</v>
      </c>
      <c r="M67" s="259">
        <f t="shared" si="6"/>
        <v>14</v>
      </c>
      <c r="N67" s="259">
        <f t="shared" si="7"/>
        <v>0</v>
      </c>
      <c r="O67" s="10"/>
    </row>
    <row r="68">
      <c r="A68" s="18" t="s">
        <v>276</v>
      </c>
      <c r="B68" s="18">
        <v>220.0</v>
      </c>
      <c r="C68" s="18" t="s">
        <v>2114</v>
      </c>
      <c r="D68" s="155" t="str">
        <f t="shared" si="2"/>
        <v>N/A</v>
      </c>
      <c r="E68" s="155" t="str">
        <f t="shared" si="3"/>
        <v>N/A</v>
      </c>
      <c r="F68" s="155" t="str">
        <f t="shared" si="4"/>
        <v>N/A</v>
      </c>
      <c r="G68" s="10"/>
      <c r="H68" s="261" t="s">
        <v>313</v>
      </c>
      <c r="I68" s="261">
        <v>1000.0</v>
      </c>
      <c r="J68" s="155"/>
      <c r="K68" s="265" t="s">
        <v>2102</v>
      </c>
      <c r="L68" s="259">
        <f t="shared" si="5"/>
        <v>14</v>
      </c>
      <c r="M68" s="259">
        <f t="shared" si="6"/>
        <v>14</v>
      </c>
      <c r="N68" s="259">
        <f t="shared" si="7"/>
        <v>0</v>
      </c>
      <c r="O68" s="10"/>
    </row>
    <row r="69">
      <c r="A69" s="18" t="s">
        <v>129</v>
      </c>
      <c r="B69" s="18">
        <v>221.0</v>
      </c>
      <c r="C69" s="18" t="s">
        <v>2102</v>
      </c>
      <c r="D69" s="155">
        <f t="shared" si="2"/>
        <v>3</v>
      </c>
      <c r="E69" s="155">
        <f t="shared" si="3"/>
        <v>3</v>
      </c>
      <c r="F69" s="155">
        <f t="shared" si="4"/>
        <v>0</v>
      </c>
      <c r="G69" s="10"/>
      <c r="H69" s="265" t="s">
        <v>370</v>
      </c>
      <c r="I69" s="265">
        <v>1010.0</v>
      </c>
      <c r="J69" s="155"/>
      <c r="K69" s="265" t="s">
        <v>2102</v>
      </c>
      <c r="L69" s="259">
        <f t="shared" si="5"/>
        <v>14</v>
      </c>
      <c r="M69" s="259">
        <f t="shared" si="6"/>
        <v>14</v>
      </c>
      <c r="N69" s="259">
        <f t="shared" si="7"/>
        <v>0</v>
      </c>
      <c r="O69" s="10"/>
    </row>
    <row r="70">
      <c r="A70" s="18" t="s">
        <v>178</v>
      </c>
      <c r="B70" s="18">
        <v>222.0</v>
      </c>
      <c r="C70" s="18" t="s">
        <v>2102</v>
      </c>
      <c r="D70" s="155">
        <f t="shared" si="2"/>
        <v>3</v>
      </c>
      <c r="E70" s="155">
        <f t="shared" si="3"/>
        <v>3</v>
      </c>
      <c r="F70" s="155">
        <f t="shared" si="4"/>
        <v>0</v>
      </c>
      <c r="G70" s="10"/>
      <c r="H70" s="261" t="s">
        <v>389</v>
      </c>
      <c r="I70" s="261">
        <v>1060.0</v>
      </c>
      <c r="J70" s="155"/>
      <c r="K70" s="260" t="s">
        <v>2102</v>
      </c>
      <c r="L70" s="259">
        <f t="shared" si="5"/>
        <v>15</v>
      </c>
      <c r="M70" s="259">
        <f t="shared" si="6"/>
        <v>15</v>
      </c>
      <c r="N70" s="259">
        <f t="shared" si="7"/>
        <v>0</v>
      </c>
      <c r="O70" s="10"/>
    </row>
    <row r="71">
      <c r="A71" s="32" t="s">
        <v>215</v>
      </c>
      <c r="B71" s="32">
        <v>222.0</v>
      </c>
      <c r="C71" s="18" t="s">
        <v>2102</v>
      </c>
      <c r="D71" s="155">
        <f t="shared" si="2"/>
        <v>3</v>
      </c>
      <c r="E71" s="155">
        <f t="shared" si="3"/>
        <v>3</v>
      </c>
      <c r="F71" s="155">
        <f t="shared" si="4"/>
        <v>0</v>
      </c>
      <c r="G71" s="10"/>
      <c r="H71" s="259" t="s">
        <v>238</v>
      </c>
      <c r="I71" s="265">
        <v>1070.0</v>
      </c>
      <c r="J71" s="155"/>
      <c r="K71" s="260" t="s">
        <v>2115</v>
      </c>
      <c r="L71" s="259">
        <f t="shared" si="5"/>
        <v>15</v>
      </c>
      <c r="M71" s="259">
        <f t="shared" si="6"/>
        <v>15</v>
      </c>
      <c r="N71" s="259">
        <f t="shared" si="7"/>
        <v>0</v>
      </c>
      <c r="O71" s="10"/>
    </row>
    <row r="72">
      <c r="A72" s="155" t="s">
        <v>177</v>
      </c>
      <c r="B72" s="18">
        <v>234.0</v>
      </c>
      <c r="C72" s="18" t="s">
        <v>2101</v>
      </c>
      <c r="D72" s="155">
        <f t="shared" si="2"/>
        <v>3</v>
      </c>
      <c r="E72" s="155">
        <f t="shared" si="3"/>
        <v>3</v>
      </c>
      <c r="F72" s="155">
        <f t="shared" si="4"/>
        <v>0</v>
      </c>
      <c r="G72" s="10"/>
      <c r="H72" s="265" t="s">
        <v>1564</v>
      </c>
      <c r="I72" s="265">
        <v>1110.0</v>
      </c>
      <c r="J72" s="155"/>
      <c r="K72" s="265" t="s">
        <v>2102</v>
      </c>
      <c r="L72" s="259">
        <f t="shared" si="5"/>
        <v>15</v>
      </c>
      <c r="M72" s="259">
        <f t="shared" si="6"/>
        <v>15</v>
      </c>
      <c r="N72" s="259">
        <f t="shared" si="7"/>
        <v>0</v>
      </c>
      <c r="O72" s="10"/>
    </row>
    <row r="73">
      <c r="A73" s="155" t="s">
        <v>326</v>
      </c>
      <c r="B73" s="155">
        <v>239.0</v>
      </c>
      <c r="C73" s="18" t="s">
        <v>2102</v>
      </c>
      <c r="D73" s="155">
        <f t="shared" si="2"/>
        <v>3</v>
      </c>
      <c r="E73" s="155">
        <f t="shared" si="3"/>
        <v>3</v>
      </c>
      <c r="F73" s="155">
        <f t="shared" si="4"/>
        <v>0</v>
      </c>
      <c r="G73" s="10"/>
      <c r="H73" s="265" t="s">
        <v>306</v>
      </c>
      <c r="I73" s="265">
        <v>1126.0</v>
      </c>
      <c r="J73" s="155"/>
      <c r="K73" s="265" t="s">
        <v>2114</v>
      </c>
      <c r="L73" s="259">
        <f t="shared" si="5"/>
        <v>16</v>
      </c>
      <c r="M73" s="259">
        <f t="shared" si="6"/>
        <v>16</v>
      </c>
      <c r="N73" s="259">
        <f t="shared" si="7"/>
        <v>0</v>
      </c>
      <c r="O73" s="10"/>
    </row>
    <row r="74">
      <c r="A74" s="32" t="s">
        <v>209</v>
      </c>
      <c r="B74" s="155">
        <v>254.0</v>
      </c>
      <c r="C74" s="18" t="s">
        <v>2114</v>
      </c>
      <c r="D74" s="155" t="str">
        <f t="shared" si="2"/>
        <v>N/A</v>
      </c>
      <c r="E74" s="155" t="str">
        <f t="shared" si="3"/>
        <v>N/A</v>
      </c>
      <c r="F74" s="155" t="str">
        <f t="shared" si="4"/>
        <v>N/A</v>
      </c>
      <c r="G74" s="10"/>
      <c r="H74" s="265" t="s">
        <v>102</v>
      </c>
      <c r="I74" s="265">
        <v>1129.0</v>
      </c>
      <c r="J74" s="155"/>
      <c r="K74" s="265" t="s">
        <v>2102</v>
      </c>
      <c r="L74" s="259">
        <f t="shared" si="5"/>
        <v>16</v>
      </c>
      <c r="M74" s="259">
        <f t="shared" si="6"/>
        <v>16</v>
      </c>
      <c r="N74" s="259">
        <f t="shared" si="7"/>
        <v>0</v>
      </c>
      <c r="O74" s="10"/>
    </row>
    <row r="75">
      <c r="A75" s="19" t="s">
        <v>142</v>
      </c>
      <c r="B75" s="155">
        <v>258.0</v>
      </c>
      <c r="C75" s="18" t="s">
        <v>2101</v>
      </c>
      <c r="D75" s="155">
        <f t="shared" si="2"/>
        <v>3</v>
      </c>
      <c r="E75" s="155">
        <f t="shared" si="3"/>
        <v>3</v>
      </c>
      <c r="F75" s="155">
        <f t="shared" si="4"/>
        <v>0</v>
      </c>
      <c r="G75" s="10"/>
      <c r="H75" s="265" t="s">
        <v>358</v>
      </c>
      <c r="I75" s="265">
        <v>1144.0</v>
      </c>
      <c r="J75" s="155"/>
      <c r="K75" s="265" t="s">
        <v>2114</v>
      </c>
      <c r="L75" s="259">
        <f t="shared" si="5"/>
        <v>16</v>
      </c>
      <c r="M75" s="259">
        <f t="shared" si="6"/>
        <v>16</v>
      </c>
      <c r="N75" s="259">
        <f t="shared" si="7"/>
        <v>0</v>
      </c>
      <c r="O75" s="10"/>
    </row>
    <row r="76">
      <c r="A76" s="155" t="s">
        <v>274</v>
      </c>
      <c r="B76" s="155">
        <v>259.0</v>
      </c>
      <c r="C76" s="18" t="s">
        <v>2114</v>
      </c>
      <c r="D76" s="155" t="str">
        <f t="shared" si="2"/>
        <v>N/A</v>
      </c>
      <c r="E76" s="155" t="str">
        <f t="shared" si="3"/>
        <v>N/A</v>
      </c>
      <c r="F76" s="155" t="str">
        <f t="shared" si="4"/>
        <v>N/A</v>
      </c>
      <c r="G76" s="10"/>
      <c r="H76" s="261" t="s">
        <v>361</v>
      </c>
      <c r="I76" s="261">
        <v>1196.0</v>
      </c>
      <c r="J76" s="155"/>
      <c r="K76" s="260" t="s">
        <v>2102</v>
      </c>
      <c r="L76" s="259">
        <f t="shared" si="5"/>
        <v>16</v>
      </c>
      <c r="M76" s="259">
        <f t="shared" si="6"/>
        <v>16</v>
      </c>
      <c r="N76" s="259">
        <f t="shared" si="7"/>
        <v>0</v>
      </c>
      <c r="O76" s="10"/>
    </row>
    <row r="77">
      <c r="A77" s="32" t="s">
        <v>388</v>
      </c>
      <c r="B77" s="32">
        <v>260.0</v>
      </c>
      <c r="C77" s="18" t="s">
        <v>2102</v>
      </c>
      <c r="D77" s="155">
        <f t="shared" si="2"/>
        <v>3</v>
      </c>
      <c r="E77" s="155">
        <f t="shared" si="3"/>
        <v>3</v>
      </c>
      <c r="F77" s="155">
        <f t="shared" si="4"/>
        <v>0</v>
      </c>
      <c r="G77" s="10"/>
      <c r="H77" s="260" t="s">
        <v>300</v>
      </c>
      <c r="I77" s="260">
        <v>1200.0</v>
      </c>
      <c r="J77" s="19"/>
      <c r="K77" s="260" t="s">
        <v>2102</v>
      </c>
      <c r="L77" s="259">
        <f t="shared" si="5"/>
        <v>16</v>
      </c>
      <c r="M77" s="259">
        <f t="shared" si="6"/>
        <v>16</v>
      </c>
      <c r="N77" s="259">
        <f t="shared" si="7"/>
        <v>0</v>
      </c>
      <c r="O77" s="10"/>
    </row>
    <row r="78">
      <c r="A78" s="19" t="s">
        <v>188</v>
      </c>
      <c r="B78" s="19">
        <v>264.0</v>
      </c>
      <c r="C78" s="18" t="s">
        <v>2114</v>
      </c>
      <c r="D78" s="155" t="str">
        <f t="shared" si="2"/>
        <v>N/A</v>
      </c>
      <c r="E78" s="155" t="str">
        <f t="shared" si="3"/>
        <v>N/A</v>
      </c>
      <c r="F78" s="155" t="str">
        <f t="shared" si="4"/>
        <v>N/A</v>
      </c>
      <c r="G78" s="10"/>
      <c r="H78" s="265" t="s">
        <v>196</v>
      </c>
      <c r="I78" s="265">
        <v>1219.0</v>
      </c>
      <c r="J78" s="18"/>
      <c r="K78" s="265" t="s">
        <v>2114</v>
      </c>
      <c r="L78" s="259">
        <f t="shared" si="5"/>
        <v>17</v>
      </c>
      <c r="M78" s="259">
        <f t="shared" si="6"/>
        <v>17</v>
      </c>
      <c r="N78" s="259">
        <f t="shared" si="7"/>
        <v>0</v>
      </c>
      <c r="O78" s="10"/>
    </row>
    <row r="79">
      <c r="A79" s="18" t="s">
        <v>332</v>
      </c>
      <c r="B79" s="18">
        <v>265.0</v>
      </c>
      <c r="C79" s="18" t="s">
        <v>2101</v>
      </c>
      <c r="D79" s="155">
        <f t="shared" si="2"/>
        <v>3</v>
      </c>
      <c r="E79" s="155">
        <f t="shared" si="3"/>
        <v>3</v>
      </c>
      <c r="F79" s="155">
        <f t="shared" si="4"/>
        <v>0</v>
      </c>
      <c r="G79" s="10"/>
      <c r="H79" s="265" t="s">
        <v>213</v>
      </c>
      <c r="I79" s="265">
        <v>1030.0</v>
      </c>
      <c r="J79" s="32">
        <v>199.0</v>
      </c>
      <c r="K79" s="265" t="s">
        <v>2102</v>
      </c>
      <c r="L79" s="259">
        <f t="shared" si="5"/>
        <v>17</v>
      </c>
      <c r="M79" s="259">
        <f t="shared" si="6"/>
        <v>17</v>
      </c>
      <c r="N79" s="259">
        <f t="shared" si="7"/>
        <v>0</v>
      </c>
      <c r="O79" s="10"/>
    </row>
    <row r="80">
      <c r="A80" s="18" t="s">
        <v>118</v>
      </c>
      <c r="B80" s="18">
        <v>279.0</v>
      </c>
      <c r="C80" s="18" t="s">
        <v>2102</v>
      </c>
      <c r="D80" s="155">
        <f t="shared" si="2"/>
        <v>3</v>
      </c>
      <c r="E80" s="155">
        <f t="shared" si="3"/>
        <v>3</v>
      </c>
      <c r="F80" s="155">
        <f t="shared" si="4"/>
        <v>0</v>
      </c>
      <c r="G80" s="10"/>
      <c r="H80" s="261" t="s">
        <v>201</v>
      </c>
      <c r="I80" s="265">
        <v>1330.0</v>
      </c>
      <c r="J80" s="155"/>
      <c r="K80" s="265" t="s">
        <v>2114</v>
      </c>
      <c r="L80" s="259">
        <f t="shared" si="5"/>
        <v>18</v>
      </c>
      <c r="M80" s="259">
        <f t="shared" si="6"/>
        <v>18</v>
      </c>
      <c r="N80" s="259">
        <f t="shared" si="7"/>
        <v>0</v>
      </c>
      <c r="O80" s="10"/>
    </row>
    <row r="81">
      <c r="A81" s="18" t="s">
        <v>370</v>
      </c>
      <c r="B81" s="18">
        <v>280.0</v>
      </c>
      <c r="C81" s="18" t="s">
        <v>2101</v>
      </c>
      <c r="D81" s="155">
        <f t="shared" si="2"/>
        <v>3</v>
      </c>
      <c r="E81" s="155">
        <f t="shared" si="3"/>
        <v>3</v>
      </c>
      <c r="F81" s="155">
        <f t="shared" si="4"/>
        <v>0</v>
      </c>
      <c r="G81" s="10"/>
      <c r="H81" s="265" t="s">
        <v>97</v>
      </c>
      <c r="I81" s="265">
        <v>1380.0</v>
      </c>
      <c r="J81" s="155"/>
      <c r="K81" s="265" t="s">
        <v>2102</v>
      </c>
      <c r="L81" s="259">
        <f t="shared" si="5"/>
        <v>19</v>
      </c>
      <c r="M81" s="259">
        <f t="shared" si="6"/>
        <v>19</v>
      </c>
      <c r="N81" s="259">
        <f t="shared" si="7"/>
        <v>0</v>
      </c>
      <c r="O81" s="10"/>
    </row>
    <row r="82">
      <c r="A82" s="18" t="s">
        <v>1564</v>
      </c>
      <c r="B82" s="18">
        <v>318.0</v>
      </c>
      <c r="C82" s="18" t="s">
        <v>2102</v>
      </c>
      <c r="D82" s="155">
        <f t="shared" si="2"/>
        <v>2</v>
      </c>
      <c r="E82" s="155">
        <f t="shared" si="3"/>
        <v>2</v>
      </c>
      <c r="F82" s="155">
        <f t="shared" si="4"/>
        <v>0</v>
      </c>
      <c r="G82" s="10"/>
      <c r="H82" s="260" t="s">
        <v>203</v>
      </c>
      <c r="I82" s="260">
        <v>1396.0</v>
      </c>
      <c r="J82" s="155"/>
      <c r="K82" s="260" t="s">
        <v>2115</v>
      </c>
      <c r="L82" s="259">
        <f t="shared" si="5"/>
        <v>19</v>
      </c>
      <c r="M82" s="259">
        <f t="shared" si="6"/>
        <v>19</v>
      </c>
      <c r="N82" s="259">
        <f t="shared" si="7"/>
        <v>0</v>
      </c>
      <c r="O82" s="10"/>
    </row>
    <row r="83">
      <c r="A83" s="18" t="s">
        <v>214</v>
      </c>
      <c r="B83" s="19">
        <v>325.0</v>
      </c>
      <c r="C83" s="18" t="s">
        <v>2102</v>
      </c>
      <c r="D83" s="155">
        <f t="shared" si="2"/>
        <v>2</v>
      </c>
      <c r="E83" s="155">
        <f t="shared" si="3"/>
        <v>2</v>
      </c>
      <c r="F83" s="155">
        <f t="shared" si="4"/>
        <v>0</v>
      </c>
      <c r="G83" s="10"/>
      <c r="H83" s="259" t="s">
        <v>188</v>
      </c>
      <c r="I83" s="260">
        <v>1408.0</v>
      </c>
      <c r="J83" s="155"/>
      <c r="K83" s="260" t="s">
        <v>2102</v>
      </c>
      <c r="L83" s="259">
        <f t="shared" si="5"/>
        <v>19</v>
      </c>
      <c r="M83" s="259">
        <f t="shared" si="6"/>
        <v>19</v>
      </c>
      <c r="N83" s="259">
        <f t="shared" si="7"/>
        <v>0</v>
      </c>
      <c r="O83" s="10"/>
    </row>
    <row r="84">
      <c r="A84" s="155" t="s">
        <v>102</v>
      </c>
      <c r="B84" s="18">
        <v>598.0</v>
      </c>
      <c r="C84" s="18" t="s">
        <v>2102</v>
      </c>
      <c r="D84" s="155">
        <f t="shared" si="2"/>
        <v>1</v>
      </c>
      <c r="E84" s="155">
        <f t="shared" si="3"/>
        <v>1</v>
      </c>
      <c r="F84" s="155">
        <f t="shared" si="4"/>
        <v>0</v>
      </c>
      <c r="G84" s="10"/>
      <c r="H84" s="265" t="s">
        <v>395</v>
      </c>
      <c r="I84" s="265">
        <v>1425.0</v>
      </c>
      <c r="J84" s="155"/>
      <c r="K84" s="260" t="s">
        <v>2102</v>
      </c>
      <c r="L84" s="259">
        <f t="shared" si="5"/>
        <v>19</v>
      </c>
      <c r="M84" s="259">
        <f t="shared" si="6"/>
        <v>19</v>
      </c>
      <c r="N84" s="259">
        <f t="shared" si="7"/>
        <v>0</v>
      </c>
      <c r="O84" s="10"/>
    </row>
    <row r="85">
      <c r="A85" s="155" t="s">
        <v>179</v>
      </c>
      <c r="B85" s="155">
        <v>678.0</v>
      </c>
      <c r="C85" s="18" t="s">
        <v>2102</v>
      </c>
      <c r="D85" s="155">
        <f t="shared" si="2"/>
        <v>1</v>
      </c>
      <c r="E85" s="155">
        <f t="shared" si="3"/>
        <v>1</v>
      </c>
      <c r="F85" s="155">
        <f t="shared" si="4"/>
        <v>0</v>
      </c>
      <c r="G85" s="10"/>
      <c r="H85" s="260" t="s">
        <v>153</v>
      </c>
      <c r="I85" s="265">
        <v>1452.0</v>
      </c>
      <c r="J85" s="155"/>
      <c r="K85" s="260" t="s">
        <v>2114</v>
      </c>
      <c r="L85" s="259">
        <f t="shared" si="5"/>
        <v>20</v>
      </c>
      <c r="M85" s="259">
        <f t="shared" si="6"/>
        <v>20</v>
      </c>
      <c r="N85" s="259">
        <f t="shared" si="7"/>
        <v>0</v>
      </c>
      <c r="O85" s="10"/>
    </row>
    <row r="86">
      <c r="A86" s="18" t="s">
        <v>256</v>
      </c>
      <c r="B86" s="18">
        <v>690.0</v>
      </c>
      <c r="C86" s="18" t="s">
        <v>2101</v>
      </c>
      <c r="D86" s="155">
        <f t="shared" si="2"/>
        <v>1</v>
      </c>
      <c r="E86" s="155">
        <f t="shared" si="3"/>
        <v>1</v>
      </c>
      <c r="F86" s="155">
        <f t="shared" si="4"/>
        <v>0</v>
      </c>
      <c r="G86" s="10"/>
      <c r="H86" s="265" t="s">
        <v>276</v>
      </c>
      <c r="I86" s="265">
        <v>1461.0</v>
      </c>
      <c r="J86" s="155"/>
      <c r="K86" s="265" t="s">
        <v>2102</v>
      </c>
      <c r="L86" s="259">
        <f t="shared" si="5"/>
        <v>20</v>
      </c>
      <c r="M86" s="259">
        <f t="shared" si="6"/>
        <v>20</v>
      </c>
      <c r="N86" s="259">
        <f t="shared" si="7"/>
        <v>0</v>
      </c>
      <c r="O86" s="10"/>
    </row>
    <row r="87">
      <c r="A87" s="155" t="s">
        <v>203</v>
      </c>
      <c r="B87" s="155">
        <v>798.0</v>
      </c>
      <c r="C87" s="18" t="s">
        <v>2114</v>
      </c>
      <c r="D87" s="155" t="str">
        <f t="shared" si="2"/>
        <v>N/A</v>
      </c>
      <c r="E87" s="155" t="str">
        <f t="shared" si="3"/>
        <v>N/A</v>
      </c>
      <c r="F87" s="155" t="str">
        <f t="shared" si="4"/>
        <v>N/A</v>
      </c>
      <c r="G87" s="10"/>
      <c r="H87" s="261" t="s">
        <v>317</v>
      </c>
      <c r="I87" s="261">
        <v>1515.0</v>
      </c>
      <c r="J87" s="155"/>
      <c r="K87" s="260" t="s">
        <v>2102</v>
      </c>
      <c r="L87" s="259">
        <f t="shared" si="5"/>
        <v>21</v>
      </c>
      <c r="M87" s="259">
        <f t="shared" si="6"/>
        <v>21</v>
      </c>
      <c r="N87" s="259">
        <f t="shared" si="7"/>
        <v>0</v>
      </c>
      <c r="O87" s="10"/>
    </row>
    <row r="88">
      <c r="A88" s="155" t="s">
        <v>300</v>
      </c>
      <c r="B88" s="18">
        <v>1100.0</v>
      </c>
      <c r="C88" s="18" t="s">
        <v>2102</v>
      </c>
      <c r="D88" s="155">
        <f t="shared" si="2"/>
        <v>1</v>
      </c>
      <c r="E88" s="155">
        <f t="shared" si="3"/>
        <v>1</v>
      </c>
      <c r="F88" s="155">
        <f t="shared" si="4"/>
        <v>0</v>
      </c>
      <c r="G88" s="10"/>
      <c r="H88" s="265" t="s">
        <v>214</v>
      </c>
      <c r="I88" s="265">
        <v>1615.0</v>
      </c>
      <c r="J88" s="155"/>
      <c r="K88" s="260" t="s">
        <v>2102</v>
      </c>
      <c r="L88" s="259">
        <f t="shared" si="5"/>
        <v>22</v>
      </c>
      <c r="M88" s="259">
        <f t="shared" si="6"/>
        <v>22</v>
      </c>
      <c r="N88" s="259">
        <f t="shared" si="7"/>
        <v>0</v>
      </c>
      <c r="O88" s="10"/>
    </row>
    <row r="89">
      <c r="A89" s="18" t="s">
        <v>238</v>
      </c>
      <c r="B89" s="18" t="s">
        <v>239</v>
      </c>
      <c r="C89" s="18" t="s">
        <v>2101</v>
      </c>
      <c r="D89" s="155">
        <f>IF($D$5="Error: invalid rarity!","Error: invalid rarity!",IF($C89="GA",IF($D$5&lt;=150,ROUNDUP($D$5/30),IF(150&lt;$D$5&lt;=650,ROUNDUP(($D$5-150)/100)+5,ROUNDUP(($D$5-650)/350)+10)),IF(AND($C89="G",$K$4&lt;&gt;"A"),IF($D$5&lt;=150,ROUNDUP($D$5/30),IF(150&lt;$D$5&lt;=650,ROUNDUP(($D$5-150)/100)+5,ROUNDUP(($D$5-650)/350)+10)),IF(AND($C89="B",$K$4="B"),IF($D$5&lt;=150,ROUNDUP($D$5/30),IF(150&lt;$D$5&lt;=650,ROUNDUP(($D$5-150)/100)+5,ROUNDUP(($D$5-650)/350)+10))),"N/A")))</f>
        <v>9</v>
      </c>
      <c r="E89" s="155">
        <f>IF($F$5="Error: invalid rarity!","Error: invalid rarity!",IF($C89="GA",IF($F$5&lt;=150,ROUNDUP($F$5/30),IF(150&lt;$F$5&lt;=650,ROUNDUP(($F$5-150)/100)+5,ROUNDUP(($F$5-650)/350)+10)),IF(AND($C89="G",$K$4&lt;&gt;"A"),IF($F$5&lt;=150,ROUNDUP($F$5/30),IF(150&lt;$F$5&lt;=650,ROUNDUP(($F$5-150)/100)+5,ROUNDUP(($F$5-650)/350)+10)),IF(AND($C89="B",$K$4="B"),IF($F$5&lt;=150,ROUNDUP($F$5/30),IF(150&lt;$F$5&lt;=650,ROUNDUP(($F$5-150)/100)+5,ROUNDUP(($F$5-650)/350)+10))),"N/A")))</f>
        <v>9</v>
      </c>
      <c r="F89" s="155">
        <f t="shared" si="4"/>
        <v>0</v>
      </c>
      <c r="G89" s="10"/>
      <c r="H89" s="265" t="s">
        <v>129</v>
      </c>
      <c r="I89" s="265">
        <v>1654.0</v>
      </c>
      <c r="J89" s="155"/>
      <c r="K89" s="260" t="s">
        <v>2102</v>
      </c>
      <c r="L89" s="259">
        <f t="shared" si="5"/>
        <v>23</v>
      </c>
      <c r="M89" s="259">
        <f t="shared" si="6"/>
        <v>23</v>
      </c>
      <c r="N89" s="259">
        <f t="shared" si="7"/>
        <v>0</v>
      </c>
      <c r="O89" s="10"/>
    </row>
    <row r="90">
      <c r="A90" s="18" t="s">
        <v>153</v>
      </c>
      <c r="B90" s="18" t="s">
        <v>167</v>
      </c>
      <c r="C90" s="18" t="s">
        <v>2101</v>
      </c>
      <c r="D90" s="155">
        <f>IF($D$5="Error: invalid rarity!","Error: invalid rarity!",IF($C90="GA",IF($D$5&lt;=175,ROUNDUP($D$5/35),IF(175&lt;$D$5&lt;=835,ROUNDUP(($D$5-175)/132)+5,ROUNDUP(($D$5-835)/704)+10)),IF(AND($C90="G",$K$4&lt;&gt;"A"),IF($D$5&lt;=175,ROUNDUP($D$5/35),IF(175&lt;$D$5&lt;=835,ROUNDUP(($D$5-175)/132)+5,ROUNDUP(($D$5-835)/704)+10)),IF(AND($C90="B",$K$4="B"),IF($D$5&lt;=175,ROUNDUP($D$5/35),IF(175&lt;$D$5&lt;=835,ROUNDUP(($D$5-175)/132)+5,ROUNDUP(($D$5-835)/704)+10))),"N/A")))</f>
        <v>9</v>
      </c>
      <c r="E90" s="155">
        <f>IF($F$5="Error: invalid rarity!","Error: invalid rarity!",IF($C90="GA",IF($F$5&lt;=175,ROUNDUP($F$5/35),IF(175&lt;$F$5&lt;=835,ROUNDUP(($F$5-175)/132)+5,ROUNDUP(($F$5-835)/704)+10)),IF(AND($C90="G",$K$4&lt;&gt;"A"),IF($F$5&lt;=175,ROUNDUP($F$5/35),IF(175&lt;$F$5&lt;=835,ROUNDUP(($F$5-175)/132)+5,ROUNDUP(($F$5-835)/704)+10)),IF(AND($C90="B",$K$4="B"),IF($F$5&lt;=175,ROUNDUP($F$5/35),IF(175&lt;$F$5&lt;=835,ROUNDUP(($F$5-175)/132)+5,ROUNDUP(($F$5-835)/704)+10))),"N/A")))</f>
        <v>9</v>
      </c>
      <c r="F90" s="155">
        <f t="shared" si="4"/>
        <v>0</v>
      </c>
      <c r="G90" s="10"/>
      <c r="H90" s="265" t="s">
        <v>326</v>
      </c>
      <c r="I90" s="265">
        <v>1729.0</v>
      </c>
      <c r="J90" s="155"/>
      <c r="K90" s="260" t="s">
        <v>2102</v>
      </c>
      <c r="L90" s="259">
        <f t="shared" si="5"/>
        <v>24</v>
      </c>
      <c r="M90" s="259">
        <f t="shared" si="6"/>
        <v>24</v>
      </c>
      <c r="N90" s="259">
        <f t="shared" si="7"/>
        <v>0</v>
      </c>
      <c r="O90" s="10"/>
    </row>
    <row r="91">
      <c r="G91" s="10"/>
      <c r="H91" s="265" t="s">
        <v>1571</v>
      </c>
      <c r="I91" s="259">
        <v>2534.0</v>
      </c>
      <c r="J91" s="155"/>
      <c r="K91" s="260" t="s">
        <v>2114</v>
      </c>
      <c r="L91" s="259">
        <f t="shared" si="5"/>
        <v>34</v>
      </c>
      <c r="M91" s="259">
        <f t="shared" si="6"/>
        <v>34</v>
      </c>
      <c r="N91" s="259">
        <f t="shared" si="7"/>
        <v>0</v>
      </c>
      <c r="O91" s="10"/>
    </row>
    <row r="92">
      <c r="F92" s="10"/>
      <c r="G92" s="10"/>
      <c r="H92" s="260" t="s">
        <v>209</v>
      </c>
      <c r="I92" s="260">
        <v>2544.0</v>
      </c>
      <c r="J92" s="155"/>
      <c r="K92" s="260" t="s">
        <v>2102</v>
      </c>
      <c r="L92" s="259">
        <f t="shared" si="5"/>
        <v>34</v>
      </c>
      <c r="M92" s="259">
        <f t="shared" si="6"/>
        <v>34</v>
      </c>
      <c r="N92" s="259">
        <f t="shared" si="7"/>
        <v>0</v>
      </c>
      <c r="O92" s="10"/>
    </row>
    <row r="93">
      <c r="A93" s="152" t="s">
        <v>2116</v>
      </c>
      <c r="C93" s="10"/>
      <c r="D93" s="10"/>
      <c r="E93" s="10"/>
      <c r="F93" s="10"/>
      <c r="G93" s="10"/>
      <c r="H93" s="265" t="s">
        <v>236</v>
      </c>
      <c r="I93" s="265">
        <v>2616.0</v>
      </c>
      <c r="J93" s="155"/>
      <c r="K93" s="260" t="s">
        <v>2102</v>
      </c>
      <c r="L93" s="259">
        <f t="shared" si="5"/>
        <v>35</v>
      </c>
      <c r="M93" s="259">
        <f t="shared" si="6"/>
        <v>35</v>
      </c>
      <c r="N93" s="259">
        <f t="shared" si="7"/>
        <v>0</v>
      </c>
      <c r="O93" s="10"/>
    </row>
    <row r="94">
      <c r="A94" s="270" t="s">
        <v>2117</v>
      </c>
      <c r="B94" s="270" t="s">
        <v>24</v>
      </c>
      <c r="C94" s="270" t="s">
        <v>50</v>
      </c>
      <c r="D94" s="270" t="s">
        <v>2118</v>
      </c>
      <c r="E94" s="270" t="s">
        <v>2119</v>
      </c>
      <c r="F94" s="10"/>
      <c r="G94" s="10"/>
      <c r="H94" s="259" t="s">
        <v>178</v>
      </c>
      <c r="I94" s="265">
        <v>2793.0</v>
      </c>
      <c r="J94" s="155"/>
      <c r="K94" s="260" t="s">
        <v>2102</v>
      </c>
      <c r="L94" s="259">
        <f t="shared" si="5"/>
        <v>38</v>
      </c>
      <c r="M94" s="259">
        <f t="shared" si="6"/>
        <v>38</v>
      </c>
      <c r="N94" s="259">
        <f t="shared" si="7"/>
        <v>0</v>
      </c>
      <c r="O94" s="10"/>
    </row>
    <row r="95">
      <c r="A95" s="31" t="s">
        <v>2120</v>
      </c>
      <c r="B95" s="31">
        <v>70.0</v>
      </c>
      <c r="C95" s="31" t="s">
        <v>2101</v>
      </c>
      <c r="D95" s="271">
        <f t="shared" ref="D95:D123" si="8">IF($D$5="Error: invalid rarity!","Error: invalid rarity!",IF($C95="GA",IF(($D$5-$B95)&gt;=0,$D$5-$B95,0),IF(AND($C95="G",$K$4&lt;&gt;"A"),IF(($D$5-$B95)&gt;=0,$D$5-$B95,0),IF(AND($C95="B",$K$4="B"),IF(($D$5-$B95)&gt;=0,$D$5-$B95,0),"N/A"))))</f>
        <v>520</v>
      </c>
      <c r="E95" s="271">
        <f t="shared" ref="E95:E123" si="9">IF($F$5="Error: invalid rarity!","Error: invalid rarity!",IF($C95="GA",IF(($F$5-$B95)&gt;=0,$F$5-$B95,0),IF(AND($C95="G",$K$4&lt;&gt;"A"),IF(($F$5-$B95)&gt;=0,$F$5-$B95,0),IF(AND($C95="B",$K$4="B"),IF(($F$5-$B95)&gt;=0,$F$5-$B95,0),"N/A"))))</f>
        <v>499</v>
      </c>
      <c r="F95" s="10"/>
      <c r="G95" s="10"/>
      <c r="H95" s="265" t="s">
        <v>179</v>
      </c>
      <c r="I95" s="265">
        <v>3125.0</v>
      </c>
      <c r="J95" s="155"/>
      <c r="K95" s="265" t="s">
        <v>2102</v>
      </c>
      <c r="L95" s="259">
        <f t="shared" si="5"/>
        <v>42</v>
      </c>
      <c r="M95" s="259">
        <f t="shared" si="6"/>
        <v>42</v>
      </c>
      <c r="N95" s="259">
        <f t="shared" si="7"/>
        <v>0</v>
      </c>
      <c r="O95" s="10"/>
    </row>
    <row r="96">
      <c r="A96" s="31" t="s">
        <v>284</v>
      </c>
      <c r="B96" s="31">
        <v>82.0</v>
      </c>
      <c r="C96" s="31" t="s">
        <v>2101</v>
      </c>
      <c r="D96" s="271">
        <f t="shared" si="8"/>
        <v>508</v>
      </c>
      <c r="E96" s="271">
        <f t="shared" si="9"/>
        <v>487</v>
      </c>
      <c r="F96" s="10"/>
      <c r="G96" s="10"/>
      <c r="H96" s="272" t="s">
        <v>278</v>
      </c>
      <c r="I96" s="273">
        <v>3150.0</v>
      </c>
      <c r="J96" s="274"/>
      <c r="K96" s="273" t="s">
        <v>2115</v>
      </c>
      <c r="L96" s="259">
        <f t="shared" si="5"/>
        <v>42</v>
      </c>
      <c r="M96" s="259">
        <f t="shared" si="6"/>
        <v>42</v>
      </c>
      <c r="N96" s="259">
        <f t="shared" si="7"/>
        <v>0</v>
      </c>
      <c r="O96" s="10"/>
    </row>
    <row r="97">
      <c r="A97" s="31" t="s">
        <v>2121</v>
      </c>
      <c r="B97" s="31">
        <v>82.0</v>
      </c>
      <c r="C97" s="31" t="s">
        <v>2101</v>
      </c>
      <c r="D97" s="271">
        <f t="shared" si="8"/>
        <v>508</v>
      </c>
      <c r="E97" s="271">
        <f t="shared" si="9"/>
        <v>487</v>
      </c>
      <c r="F97" s="10"/>
      <c r="G97" s="10"/>
      <c r="H97" s="267" t="s">
        <v>107</v>
      </c>
      <c r="I97" s="264">
        <v>3275.0</v>
      </c>
      <c r="J97" s="275"/>
      <c r="K97" s="264" t="s">
        <v>2102</v>
      </c>
      <c r="L97" s="259">
        <f t="shared" si="5"/>
        <v>44</v>
      </c>
      <c r="M97" s="259">
        <f t="shared" si="6"/>
        <v>44</v>
      </c>
      <c r="N97" s="259">
        <f t="shared" si="7"/>
        <v>0</v>
      </c>
      <c r="O97" s="10"/>
    </row>
    <row r="98">
      <c r="A98" s="31" t="s">
        <v>221</v>
      </c>
      <c r="B98" s="31">
        <v>91.0</v>
      </c>
      <c r="C98" s="31" t="s">
        <v>2101</v>
      </c>
      <c r="D98" s="271">
        <f t="shared" si="8"/>
        <v>499</v>
      </c>
      <c r="E98" s="271">
        <f t="shared" si="9"/>
        <v>478</v>
      </c>
      <c r="F98" s="10"/>
      <c r="G98" s="10"/>
      <c r="H98" s="245" t="s">
        <v>215</v>
      </c>
      <c r="I98" s="247">
        <v>3300.0</v>
      </c>
      <c r="J98" s="275"/>
      <c r="K98" s="264" t="s">
        <v>2102</v>
      </c>
      <c r="L98" s="259">
        <f t="shared" si="5"/>
        <v>44</v>
      </c>
      <c r="M98" s="259">
        <f t="shared" si="6"/>
        <v>44</v>
      </c>
      <c r="N98" s="259">
        <f t="shared" si="7"/>
        <v>0</v>
      </c>
      <c r="O98" s="10"/>
    </row>
    <row r="99">
      <c r="A99" s="31" t="s">
        <v>319</v>
      </c>
      <c r="B99" s="31">
        <v>91.0</v>
      </c>
      <c r="C99" s="31" t="s">
        <v>2101</v>
      </c>
      <c r="D99" s="271">
        <f t="shared" si="8"/>
        <v>499</v>
      </c>
      <c r="E99" s="271">
        <f t="shared" si="9"/>
        <v>478</v>
      </c>
      <c r="F99" s="10"/>
      <c r="G99" s="10"/>
      <c r="H99" s="265" t="s">
        <v>287</v>
      </c>
      <c r="I99" s="265">
        <v>3591.0</v>
      </c>
      <c r="J99" s="155"/>
      <c r="K99" s="265" t="s">
        <v>2102</v>
      </c>
      <c r="L99" s="259">
        <f t="shared" si="5"/>
        <v>48</v>
      </c>
      <c r="M99" s="259">
        <f t="shared" si="6"/>
        <v>48</v>
      </c>
      <c r="N99" s="259">
        <f t="shared" si="7"/>
        <v>0</v>
      </c>
      <c r="O99" s="10"/>
    </row>
    <row r="100">
      <c r="A100" s="31" t="s">
        <v>224</v>
      </c>
      <c r="B100" s="31">
        <v>95.0</v>
      </c>
      <c r="C100" s="31" t="s">
        <v>2101</v>
      </c>
      <c r="D100" s="271">
        <f t="shared" si="8"/>
        <v>495</v>
      </c>
      <c r="E100" s="271">
        <f t="shared" si="9"/>
        <v>474</v>
      </c>
      <c r="F100" s="10"/>
      <c r="G100" s="10"/>
      <c r="H100" s="265" t="s">
        <v>405</v>
      </c>
      <c r="I100" s="259">
        <v>4008.0</v>
      </c>
      <c r="J100" s="155"/>
      <c r="K100" s="260" t="s">
        <v>2114</v>
      </c>
      <c r="L100" s="259">
        <f t="shared" si="5"/>
        <v>54</v>
      </c>
      <c r="M100" s="259">
        <f t="shared" si="6"/>
        <v>54</v>
      </c>
      <c r="N100" s="259">
        <f t="shared" si="7"/>
        <v>0</v>
      </c>
      <c r="O100" s="10"/>
    </row>
    <row r="101">
      <c r="A101" s="31" t="s">
        <v>1572</v>
      </c>
      <c r="B101" s="31">
        <v>110.0</v>
      </c>
      <c r="C101" s="31" t="s">
        <v>2101</v>
      </c>
      <c r="D101" s="271">
        <f t="shared" si="8"/>
        <v>480</v>
      </c>
      <c r="E101" s="271">
        <f t="shared" si="9"/>
        <v>459</v>
      </c>
      <c r="F101" s="10"/>
      <c r="G101" s="10"/>
      <c r="H101" s="259" t="s">
        <v>274</v>
      </c>
      <c r="I101" s="259">
        <v>4256.0</v>
      </c>
      <c r="J101" s="155"/>
      <c r="K101" s="260" t="s">
        <v>2102</v>
      </c>
      <c r="L101" s="259">
        <f t="shared" si="5"/>
        <v>57</v>
      </c>
      <c r="M101" s="259">
        <f t="shared" si="6"/>
        <v>57</v>
      </c>
      <c r="N101" s="259">
        <f t="shared" si="7"/>
        <v>0</v>
      </c>
      <c r="O101" s="10"/>
    </row>
    <row r="102">
      <c r="A102" s="31" t="s">
        <v>397</v>
      </c>
      <c r="B102" s="31">
        <v>140.0</v>
      </c>
      <c r="C102" s="31" t="s">
        <v>2101</v>
      </c>
      <c r="D102" s="271">
        <f t="shared" si="8"/>
        <v>450</v>
      </c>
      <c r="E102" s="271">
        <f t="shared" si="9"/>
        <v>429</v>
      </c>
      <c r="F102" s="10"/>
      <c r="G102" s="10"/>
      <c r="H102" s="24"/>
      <c r="I102" s="24"/>
      <c r="J102" s="10"/>
      <c r="K102" s="24"/>
      <c r="L102" s="276"/>
      <c r="M102" s="276"/>
      <c r="N102" s="276"/>
      <c r="O102" s="10"/>
    </row>
    <row r="103">
      <c r="A103" s="31" t="s">
        <v>2122</v>
      </c>
      <c r="B103" s="31">
        <v>159.0</v>
      </c>
      <c r="C103" s="31" t="s">
        <v>2101</v>
      </c>
      <c r="D103" s="271">
        <f t="shared" si="8"/>
        <v>431</v>
      </c>
      <c r="E103" s="271">
        <f t="shared" si="9"/>
        <v>410</v>
      </c>
      <c r="F103" s="10"/>
      <c r="G103" s="10"/>
      <c r="H103" s="276"/>
      <c r="I103" s="276"/>
      <c r="J103" s="10"/>
      <c r="K103" s="277"/>
      <c r="L103" s="276"/>
      <c r="M103" s="276"/>
      <c r="N103" s="276"/>
      <c r="O103" s="10"/>
    </row>
    <row r="104">
      <c r="A104" s="31" t="s">
        <v>184</v>
      </c>
      <c r="B104" s="31">
        <v>159.0</v>
      </c>
      <c r="C104" s="31" t="s">
        <v>2101</v>
      </c>
      <c r="D104" s="271">
        <f t="shared" si="8"/>
        <v>431</v>
      </c>
      <c r="E104" s="271">
        <f t="shared" si="9"/>
        <v>410</v>
      </c>
      <c r="F104" s="10"/>
      <c r="G104" s="10"/>
      <c r="H104" s="276"/>
      <c r="I104" s="276"/>
      <c r="J104" s="10"/>
      <c r="K104" s="277"/>
      <c r="L104" s="276"/>
      <c r="M104" s="276"/>
      <c r="N104" s="276"/>
      <c r="O104" s="10"/>
    </row>
    <row r="105">
      <c r="A105" s="31" t="s">
        <v>219</v>
      </c>
      <c r="B105" s="31">
        <v>159.0</v>
      </c>
      <c r="C105" s="31" t="s">
        <v>2101</v>
      </c>
      <c r="D105" s="271">
        <f t="shared" si="8"/>
        <v>431</v>
      </c>
      <c r="E105" s="271">
        <f t="shared" si="9"/>
        <v>410</v>
      </c>
      <c r="F105" s="10"/>
      <c r="G105" s="10"/>
      <c r="H105" s="276"/>
      <c r="I105" s="276"/>
      <c r="J105" s="10"/>
      <c r="K105" s="277"/>
      <c r="L105" s="276"/>
      <c r="M105" s="276"/>
      <c r="N105" s="276"/>
      <c r="O105" s="10"/>
    </row>
    <row r="106">
      <c r="A106" s="31" t="s">
        <v>1574</v>
      </c>
      <c r="B106" s="31">
        <v>184.0</v>
      </c>
      <c r="C106" s="31" t="s">
        <v>2101</v>
      </c>
      <c r="D106" s="271">
        <f t="shared" si="8"/>
        <v>406</v>
      </c>
      <c r="E106" s="271">
        <f t="shared" si="9"/>
        <v>385</v>
      </c>
      <c r="F106" s="10"/>
      <c r="G106" s="10"/>
      <c r="H106" s="278"/>
      <c r="I106" s="276"/>
      <c r="J106" s="10"/>
      <c r="K106" s="277"/>
      <c r="L106" s="276"/>
      <c r="M106" s="276"/>
      <c r="N106" s="276"/>
      <c r="O106" s="10"/>
    </row>
    <row r="107">
      <c r="A107" s="31" t="s">
        <v>2123</v>
      </c>
      <c r="B107" s="31">
        <v>186.0</v>
      </c>
      <c r="C107" s="31" t="s">
        <v>2101</v>
      </c>
      <c r="D107" s="271">
        <f t="shared" si="8"/>
        <v>404</v>
      </c>
      <c r="E107" s="271">
        <f t="shared" si="9"/>
        <v>383</v>
      </c>
      <c r="F107" s="10"/>
      <c r="G107" s="10"/>
      <c r="O107" s="10"/>
    </row>
    <row r="108">
      <c r="A108" s="31" t="s">
        <v>152</v>
      </c>
      <c r="B108" s="31">
        <v>188.0</v>
      </c>
      <c r="C108" s="31" t="s">
        <v>2101</v>
      </c>
      <c r="D108" s="271">
        <f t="shared" si="8"/>
        <v>402</v>
      </c>
      <c r="E108" s="271">
        <f t="shared" si="9"/>
        <v>381</v>
      </c>
      <c r="F108" s="10"/>
      <c r="G108" s="10"/>
      <c r="O108" s="10"/>
    </row>
    <row r="109">
      <c r="A109" s="31" t="s">
        <v>1576</v>
      </c>
      <c r="B109" s="31">
        <v>199.0</v>
      </c>
      <c r="C109" s="31" t="s">
        <v>2101</v>
      </c>
      <c r="D109" s="271">
        <f t="shared" si="8"/>
        <v>391</v>
      </c>
      <c r="E109" s="271">
        <f t="shared" si="9"/>
        <v>370</v>
      </c>
      <c r="F109" s="10"/>
      <c r="G109" s="10"/>
      <c r="H109" s="278"/>
      <c r="I109" s="276"/>
      <c r="J109" s="10"/>
      <c r="K109" s="277"/>
      <c r="L109" s="276"/>
      <c r="M109" s="276"/>
      <c r="N109" s="276"/>
      <c r="O109" s="10"/>
    </row>
    <row r="110">
      <c r="A110" s="31" t="s">
        <v>145</v>
      </c>
      <c r="B110" s="31">
        <v>200.0</v>
      </c>
      <c r="C110" s="31" t="s">
        <v>2102</v>
      </c>
      <c r="D110" s="271">
        <f t="shared" si="8"/>
        <v>390</v>
      </c>
      <c r="E110" s="271">
        <f t="shared" si="9"/>
        <v>369</v>
      </c>
      <c r="F110" s="10"/>
      <c r="G110" s="10"/>
      <c r="H110" s="276"/>
      <c r="I110" s="276"/>
      <c r="J110" s="10"/>
      <c r="K110" s="277"/>
      <c r="L110" s="276"/>
      <c r="M110" s="276"/>
      <c r="N110" s="276"/>
      <c r="O110" s="10"/>
    </row>
    <row r="111">
      <c r="A111" s="279" t="s">
        <v>305</v>
      </c>
      <c r="B111" s="279">
        <f>IF(K5="B",714,204)</f>
        <v>204</v>
      </c>
      <c r="C111" s="31" t="s">
        <v>2102</v>
      </c>
      <c r="D111" s="271">
        <f t="shared" si="8"/>
        <v>386</v>
      </c>
      <c r="E111" s="271">
        <f t="shared" si="9"/>
        <v>365</v>
      </c>
      <c r="F111" s="10"/>
      <c r="G111" s="10"/>
      <c r="O111" s="10"/>
    </row>
    <row r="112">
      <c r="A112" s="31" t="s">
        <v>144</v>
      </c>
      <c r="B112" s="31">
        <v>220.0</v>
      </c>
      <c r="C112" s="31" t="s">
        <v>2114</v>
      </c>
      <c r="D112" s="271" t="str">
        <f t="shared" si="8"/>
        <v>N/A</v>
      </c>
      <c r="E112" s="271" t="str">
        <f t="shared" si="9"/>
        <v>N/A</v>
      </c>
      <c r="F112" s="10"/>
      <c r="G112" s="10"/>
      <c r="O112" s="10"/>
    </row>
    <row r="113">
      <c r="A113" s="31" t="s">
        <v>204</v>
      </c>
      <c r="B113" s="31">
        <v>240.0</v>
      </c>
      <c r="C113" s="31" t="s">
        <v>2102</v>
      </c>
      <c r="D113" s="271">
        <f t="shared" si="8"/>
        <v>350</v>
      </c>
      <c r="E113" s="271">
        <f t="shared" si="9"/>
        <v>329</v>
      </c>
      <c r="F113" s="10"/>
      <c r="G113" s="10"/>
      <c r="O113" s="10"/>
    </row>
    <row r="114">
      <c r="A114" s="31" t="s">
        <v>82</v>
      </c>
      <c r="B114" s="31">
        <v>303.0</v>
      </c>
      <c r="C114" s="31" t="s">
        <v>2101</v>
      </c>
      <c r="D114" s="271">
        <f t="shared" si="8"/>
        <v>287</v>
      </c>
      <c r="E114" s="271">
        <f t="shared" si="9"/>
        <v>266</v>
      </c>
      <c r="F114" s="10"/>
      <c r="G114" s="10"/>
      <c r="O114" s="10"/>
    </row>
    <row r="115">
      <c r="A115" s="31" t="s">
        <v>393</v>
      </c>
      <c r="B115" s="31">
        <v>362.0</v>
      </c>
      <c r="C115" s="31" t="s">
        <v>2101</v>
      </c>
      <c r="D115" s="271">
        <f t="shared" si="8"/>
        <v>228</v>
      </c>
      <c r="E115" s="271">
        <f t="shared" si="9"/>
        <v>207</v>
      </c>
      <c r="F115" s="10"/>
      <c r="G115" s="10"/>
      <c r="O115" s="10"/>
    </row>
    <row r="116">
      <c r="A116" s="31" t="s">
        <v>2124</v>
      </c>
      <c r="B116" s="31">
        <v>440.0</v>
      </c>
      <c r="C116" s="31" t="s">
        <v>2114</v>
      </c>
      <c r="D116" s="271" t="str">
        <f t="shared" si="8"/>
        <v>N/A</v>
      </c>
      <c r="E116" s="271" t="str">
        <f t="shared" si="9"/>
        <v>N/A</v>
      </c>
      <c r="F116" s="10"/>
      <c r="G116" s="10"/>
      <c r="O116" s="10"/>
    </row>
    <row r="117">
      <c r="A117" s="31" t="s">
        <v>1577</v>
      </c>
      <c r="B117" s="31">
        <v>444.0</v>
      </c>
      <c r="C117" s="31" t="s">
        <v>2102</v>
      </c>
      <c r="D117" s="271">
        <f t="shared" si="8"/>
        <v>146</v>
      </c>
      <c r="E117" s="271">
        <f t="shared" si="9"/>
        <v>125</v>
      </c>
      <c r="F117" s="10"/>
      <c r="G117" s="10"/>
      <c r="O117" s="10"/>
    </row>
    <row r="118">
      <c r="A118" s="31" t="s">
        <v>2125</v>
      </c>
      <c r="B118" s="31">
        <v>444.0</v>
      </c>
      <c r="C118" s="31" t="s">
        <v>2102</v>
      </c>
      <c r="D118" s="271">
        <f t="shared" si="8"/>
        <v>146</v>
      </c>
      <c r="E118" s="271">
        <f t="shared" si="9"/>
        <v>125</v>
      </c>
      <c r="F118" s="10"/>
      <c r="G118" s="10"/>
      <c r="O118" s="10"/>
    </row>
    <row r="119">
      <c r="A119" s="279" t="s">
        <v>100</v>
      </c>
      <c r="B119" s="279">
        <v>572.0</v>
      </c>
      <c r="C119" s="31" t="s">
        <v>2101</v>
      </c>
      <c r="D119" s="271">
        <f t="shared" si="8"/>
        <v>18</v>
      </c>
      <c r="E119" s="271">
        <f t="shared" si="9"/>
        <v>0</v>
      </c>
      <c r="F119" s="10"/>
      <c r="G119" s="10"/>
      <c r="H119" s="10"/>
      <c r="I119" s="10"/>
      <c r="J119" s="10"/>
      <c r="K119" s="10"/>
      <c r="L119" s="10"/>
      <c r="M119" s="10"/>
      <c r="N119" s="10"/>
      <c r="O119" s="10"/>
    </row>
    <row r="120">
      <c r="A120" s="31" t="s">
        <v>234</v>
      </c>
      <c r="B120" s="31">
        <v>600.0</v>
      </c>
      <c r="C120" s="31" t="s">
        <v>2101</v>
      </c>
      <c r="D120" s="271">
        <f t="shared" si="8"/>
        <v>0</v>
      </c>
      <c r="E120" s="271">
        <f t="shared" si="9"/>
        <v>0</v>
      </c>
      <c r="F120" s="10"/>
      <c r="G120" s="10"/>
      <c r="H120" s="10"/>
      <c r="I120" s="10"/>
      <c r="J120" s="10"/>
      <c r="K120" s="10"/>
      <c r="L120" s="10"/>
      <c r="M120" s="10"/>
      <c r="N120" s="10"/>
      <c r="O120" s="10"/>
    </row>
    <row r="121">
      <c r="A121" s="31" t="s">
        <v>189</v>
      </c>
      <c r="B121" s="31">
        <v>750.0</v>
      </c>
      <c r="C121" s="31" t="s">
        <v>2101</v>
      </c>
      <c r="D121" s="271">
        <f t="shared" si="8"/>
        <v>0</v>
      </c>
      <c r="E121" s="271">
        <f t="shared" si="9"/>
        <v>0</v>
      </c>
      <c r="F121" s="10"/>
      <c r="G121" s="10"/>
      <c r="O121" s="10"/>
    </row>
    <row r="122">
      <c r="A122" s="31" t="s">
        <v>223</v>
      </c>
      <c r="B122" s="31">
        <v>877.0</v>
      </c>
      <c r="C122" s="31" t="s">
        <v>2101</v>
      </c>
      <c r="D122" s="271">
        <f t="shared" si="8"/>
        <v>0</v>
      </c>
      <c r="E122" s="271">
        <f t="shared" si="9"/>
        <v>0</v>
      </c>
      <c r="F122" s="10"/>
      <c r="G122" s="10"/>
      <c r="H122" s="10"/>
      <c r="I122" s="10"/>
      <c r="J122" s="10"/>
      <c r="K122" s="10"/>
      <c r="L122" s="10"/>
      <c r="M122" s="10"/>
      <c r="N122" s="10"/>
      <c r="O122" s="10"/>
    </row>
    <row r="123">
      <c r="A123" s="31" t="s">
        <v>199</v>
      </c>
      <c r="B123" s="31">
        <v>1232.0</v>
      </c>
      <c r="C123" s="31" t="s">
        <v>2101</v>
      </c>
      <c r="D123" s="271">
        <f t="shared" si="8"/>
        <v>0</v>
      </c>
      <c r="E123" s="271">
        <f t="shared" si="9"/>
        <v>0</v>
      </c>
      <c r="F123" s="10"/>
      <c r="G123" s="10"/>
      <c r="H123" s="10"/>
      <c r="I123" s="10"/>
      <c r="J123" s="10"/>
      <c r="K123" s="10"/>
      <c r="L123" s="10"/>
      <c r="M123" s="10"/>
      <c r="N123" s="10"/>
      <c r="O123" s="10"/>
    </row>
    <row r="124">
      <c r="G124" s="10"/>
      <c r="H124" s="10"/>
      <c r="I124" s="10"/>
      <c r="J124" s="10"/>
      <c r="K124" s="10"/>
      <c r="L124" s="10"/>
      <c r="M124" s="10"/>
      <c r="N124" s="10"/>
      <c r="O124" s="10"/>
    </row>
  </sheetData>
  <mergeCells count="6">
    <mergeCell ref="A4:A5"/>
    <mergeCell ref="B4:B5"/>
    <mergeCell ref="H4:H5"/>
    <mergeCell ref="I4:I5"/>
    <mergeCell ref="J4:J5"/>
    <mergeCell ref="K4:K5"/>
  </mergeCells>
  <conditionalFormatting sqref="B4:B5">
    <cfRule type="cellIs" dxfId="13" priority="1" operator="equal">
      <formula>"Common"</formula>
    </cfRule>
  </conditionalFormatting>
  <conditionalFormatting sqref="B4:B5">
    <cfRule type="cellIs" dxfId="14" priority="2" operator="equal">
      <formula>"Rare"</formula>
    </cfRule>
  </conditionalFormatting>
  <conditionalFormatting sqref="B4:B5">
    <cfRule type="cellIs" dxfId="7" priority="3" operator="equal">
      <formula>"Epic"</formula>
    </cfRule>
  </conditionalFormatting>
  <conditionalFormatting sqref="B4:B5">
    <cfRule type="cellIs" dxfId="8" priority="4" operator="equal">
      <formula>"Legendary"</formula>
    </cfRule>
  </conditionalFormatting>
  <conditionalFormatting sqref="B4:B5">
    <cfRule type="notContainsBlanks" dxfId="15" priority="5">
      <formula>LEN(TRIM(B4))&gt;0</formula>
    </cfRule>
  </conditionalFormatting>
  <conditionalFormatting sqref="B4:B5">
    <cfRule type="containsBlanks" dxfId="15" priority="6">
      <formula>LEN(TRIM(B4))=0</formula>
    </cfRule>
  </conditionalFormatting>
  <conditionalFormatting sqref="A1:A124 C1:H124 I1:I9 J1:O124 B3:B5 B11:B92 I11:I124 B94:B124">
    <cfRule type="cellIs" dxfId="16" priority="7" operator="equal">
      <formula>"Error: invalid rarity!"</formula>
    </cfRule>
  </conditionalFormatting>
  <conditionalFormatting sqref="F12:F90 N12:N101">
    <cfRule type="cellIs" dxfId="17" priority="8" operator="equal">
      <formula>"N/A"</formula>
    </cfRule>
  </conditionalFormatting>
  <conditionalFormatting sqref="F12:F90">
    <cfRule type="cellIs" dxfId="18" priority="9" operator="equal">
      <formula>0</formula>
    </cfRule>
  </conditionalFormatting>
  <conditionalFormatting sqref="N12:N101">
    <cfRule type="cellIs" dxfId="18" priority="10" operator="equal">
      <formula>0</formula>
    </cfRule>
  </conditionalFormatting>
  <conditionalFormatting sqref="N12:N101">
    <cfRule type="cellIs" dxfId="15" priority="11" operator="greaterThan">
      <formula>0</formula>
    </cfRule>
  </conditionalFormatting>
  <conditionalFormatting sqref="N12:N101">
    <cfRule type="cellIs" dxfId="19" priority="12" operator="lessThan">
      <formula>0</formula>
    </cfRule>
  </conditionalFormatting>
  <conditionalFormatting sqref="F12:F90">
    <cfRule type="cellIs" dxfId="20" priority="13" operator="greaterThan">
      <formula>0</formula>
    </cfRule>
  </conditionalFormatting>
  <conditionalFormatting sqref="F12:F90">
    <cfRule type="cellIs" dxfId="15" priority="14" operator="lessThan">
      <formula>0</formula>
    </cfRule>
  </conditionalFormatting>
  <conditionalFormatting sqref="D95:E123">
    <cfRule type="cellIs" dxfId="21" priority="15" operator="notBetween">
      <formula>0</formula>
      <formula>99999</formula>
    </cfRule>
  </conditionalFormatting>
  <conditionalFormatting sqref="D95:E123">
    <cfRule type="cellIs" dxfId="15" priority="16" operator="equal">
      <formula>0</formula>
    </cfRule>
  </conditionalFormatting>
  <conditionalFormatting sqref="D95:E123">
    <cfRule type="cellIs" dxfId="20" priority="17" operator="notEqual">
      <formula>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8" width="28.71"/>
  </cols>
  <sheetData>
    <row r="1">
      <c r="A1" s="280" t="s">
        <v>2083</v>
      </c>
      <c r="B1" s="281"/>
      <c r="C1" s="281"/>
      <c r="D1" s="282"/>
      <c r="E1" s="282"/>
      <c r="F1" s="282"/>
      <c r="G1" s="282"/>
      <c r="H1" s="282"/>
      <c r="I1" s="282"/>
      <c r="J1" s="282"/>
      <c r="K1" s="282"/>
      <c r="L1" s="282"/>
      <c r="M1" s="282"/>
      <c r="N1" s="282"/>
      <c r="O1" s="282"/>
      <c r="P1" s="282"/>
      <c r="Q1" s="282"/>
      <c r="R1" s="282"/>
    </row>
    <row r="2">
      <c r="A2" s="283" t="s">
        <v>2126</v>
      </c>
      <c r="B2" s="282"/>
      <c r="C2" s="282"/>
      <c r="D2" s="282"/>
      <c r="E2" s="282"/>
      <c r="F2" s="282"/>
      <c r="G2" s="282"/>
      <c r="H2" s="282"/>
      <c r="I2" s="282"/>
      <c r="J2" s="282"/>
      <c r="K2" s="282"/>
      <c r="L2" s="282"/>
      <c r="M2" s="282"/>
      <c r="N2" s="282"/>
      <c r="O2" s="282"/>
      <c r="P2" s="282"/>
      <c r="Q2" s="282"/>
      <c r="R2" s="282"/>
    </row>
    <row r="3">
      <c r="A3" s="284" t="s">
        <v>2127</v>
      </c>
      <c r="B3" s="281"/>
      <c r="C3" s="281"/>
      <c r="D3" s="281"/>
      <c r="E3" s="281"/>
      <c r="F3" s="281"/>
      <c r="G3" s="282"/>
      <c r="H3" s="282"/>
      <c r="I3" s="282"/>
      <c r="J3" s="282"/>
      <c r="K3" s="282"/>
      <c r="L3" s="282"/>
      <c r="M3" s="282"/>
      <c r="N3" s="282"/>
      <c r="O3" s="282"/>
      <c r="P3" s="282"/>
      <c r="Q3" s="282"/>
      <c r="R3" s="282"/>
    </row>
    <row r="4">
      <c r="A4" s="285"/>
      <c r="B4" s="282"/>
      <c r="C4" s="282"/>
      <c r="D4" s="282"/>
      <c r="E4" s="282"/>
      <c r="F4" s="282"/>
      <c r="G4" s="282"/>
      <c r="H4" s="282"/>
      <c r="I4" s="282"/>
      <c r="J4" s="282"/>
      <c r="K4" s="282"/>
      <c r="L4" s="282"/>
      <c r="M4" s="282"/>
      <c r="N4" s="282"/>
      <c r="O4" s="282"/>
      <c r="P4" s="282"/>
      <c r="Q4" s="282"/>
      <c r="R4" s="282"/>
    </row>
    <row r="5">
      <c r="A5" s="286" t="s">
        <v>2128</v>
      </c>
      <c r="B5" s="287"/>
      <c r="C5" s="287"/>
      <c r="D5" s="281"/>
      <c r="E5" s="281"/>
      <c r="F5" s="281"/>
      <c r="G5" s="282"/>
      <c r="H5" s="282"/>
      <c r="I5" s="282"/>
      <c r="J5" s="282"/>
      <c r="K5" s="282"/>
      <c r="L5" s="282"/>
      <c r="M5" s="282"/>
      <c r="N5" s="282"/>
      <c r="O5" s="282"/>
      <c r="P5" s="282"/>
      <c r="Q5" s="282"/>
      <c r="R5" s="282"/>
    </row>
    <row r="6">
      <c r="A6" s="288" t="s">
        <v>1615</v>
      </c>
      <c r="B6" s="289" t="s">
        <v>1985</v>
      </c>
      <c r="C6" s="290" t="s">
        <v>2129</v>
      </c>
      <c r="D6" s="291" t="s">
        <v>2130</v>
      </c>
      <c r="E6" s="282"/>
      <c r="F6" s="282"/>
      <c r="G6" s="282"/>
      <c r="H6" s="282"/>
      <c r="I6" s="282"/>
      <c r="J6" s="282"/>
      <c r="K6" s="282"/>
      <c r="L6" s="282"/>
      <c r="M6" s="282"/>
      <c r="N6" s="282"/>
      <c r="O6" s="282"/>
      <c r="P6" s="282"/>
      <c r="Q6" s="282"/>
      <c r="R6" s="282"/>
    </row>
    <row r="7">
      <c r="A7" s="292">
        <v>13.0</v>
      </c>
      <c r="B7" s="293">
        <v>4.0</v>
      </c>
      <c r="C7" s="294">
        <v>4.0</v>
      </c>
      <c r="D7" s="294">
        <v>5000.0</v>
      </c>
      <c r="E7" s="282"/>
      <c r="F7" s="282"/>
      <c r="G7" s="282"/>
      <c r="H7" s="282"/>
      <c r="I7" s="282"/>
      <c r="J7" s="282"/>
      <c r="K7" s="282"/>
      <c r="L7" s="282"/>
      <c r="M7" s="282"/>
      <c r="N7" s="282"/>
      <c r="O7" s="282"/>
      <c r="P7" s="282"/>
      <c r="Q7" s="282"/>
      <c r="R7" s="282"/>
    </row>
    <row r="8">
      <c r="A8" s="282"/>
      <c r="B8" s="282"/>
      <c r="C8" s="282"/>
      <c r="D8" s="282"/>
      <c r="E8" s="282"/>
      <c r="F8" s="282"/>
      <c r="G8" s="282"/>
      <c r="H8" s="282"/>
      <c r="I8" s="282"/>
      <c r="J8" s="282"/>
      <c r="K8" s="282"/>
      <c r="L8" s="282"/>
      <c r="M8" s="282"/>
      <c r="N8" s="282"/>
      <c r="O8" s="282"/>
      <c r="P8" s="282"/>
      <c r="Q8" s="282"/>
      <c r="R8" s="282"/>
    </row>
    <row r="9">
      <c r="A9" s="295" t="s">
        <v>2131</v>
      </c>
      <c r="B9" s="287"/>
      <c r="C9" s="287"/>
      <c r="D9" s="287"/>
      <c r="E9" s="296"/>
      <c r="F9" s="296"/>
      <c r="G9" s="296"/>
      <c r="H9" s="296"/>
      <c r="I9" s="296"/>
      <c r="J9" s="296"/>
      <c r="K9" s="296"/>
      <c r="L9" s="296"/>
      <c r="M9" s="296"/>
      <c r="N9" s="296"/>
      <c r="O9" s="282"/>
      <c r="P9" s="282"/>
      <c r="Q9" s="282"/>
      <c r="R9" s="282"/>
    </row>
    <row r="10">
      <c r="A10" s="288" t="s">
        <v>2132</v>
      </c>
      <c r="B10" s="289" t="s">
        <v>2133</v>
      </c>
      <c r="C10" s="289" t="s">
        <v>2134</v>
      </c>
      <c r="D10" s="289" t="s">
        <v>2135</v>
      </c>
      <c r="E10" s="289" t="s">
        <v>2136</v>
      </c>
      <c r="F10" s="289" t="s">
        <v>2137</v>
      </c>
      <c r="G10" s="289" t="s">
        <v>2138</v>
      </c>
      <c r="H10" s="297" t="s">
        <v>2139</v>
      </c>
      <c r="I10" s="297" t="s">
        <v>2140</v>
      </c>
      <c r="J10" s="289" t="s">
        <v>2141</v>
      </c>
      <c r="K10" s="289" t="s">
        <v>2142</v>
      </c>
      <c r="L10" s="289" t="s">
        <v>2143</v>
      </c>
      <c r="M10" s="289" t="s">
        <v>2144</v>
      </c>
      <c r="N10" s="289" t="s">
        <v>2145</v>
      </c>
      <c r="O10" s="282"/>
      <c r="P10" s="282"/>
      <c r="Q10" s="282"/>
      <c r="R10" s="282"/>
    </row>
    <row r="11">
      <c r="A11" s="298">
        <v>24.0</v>
      </c>
      <c r="B11" s="299">
        <v>1.0</v>
      </c>
      <c r="C11" s="299">
        <v>10.0</v>
      </c>
      <c r="D11" s="299">
        <v>10.0</v>
      </c>
      <c r="E11" s="299">
        <v>1.0</v>
      </c>
      <c r="F11" s="299">
        <v>1.0</v>
      </c>
      <c r="G11" s="299">
        <v>7.0</v>
      </c>
      <c r="H11" s="299">
        <v>40.0</v>
      </c>
      <c r="I11" s="299">
        <v>7.0</v>
      </c>
      <c r="J11" s="299">
        <v>3.0</v>
      </c>
      <c r="K11" s="299">
        <v>400.0</v>
      </c>
      <c r="L11" s="299">
        <v>40.0</v>
      </c>
      <c r="M11" s="299">
        <v>4.0</v>
      </c>
      <c r="N11" s="299">
        <v>1.0</v>
      </c>
      <c r="O11" s="282"/>
      <c r="P11" s="282"/>
      <c r="Q11" s="282"/>
      <c r="R11" s="282"/>
    </row>
    <row r="12">
      <c r="A12" s="284" t="s">
        <v>2146</v>
      </c>
      <c r="B12" s="281"/>
      <c r="C12" s="281"/>
      <c r="D12" s="282"/>
      <c r="E12" s="282"/>
      <c r="F12" s="282"/>
      <c r="G12" s="282"/>
      <c r="H12" s="282"/>
      <c r="I12" s="282"/>
      <c r="J12" s="282"/>
      <c r="K12" s="282"/>
      <c r="L12" s="282"/>
      <c r="M12" s="282"/>
      <c r="N12" s="282"/>
      <c r="O12" s="282"/>
      <c r="P12" s="282"/>
      <c r="Q12" s="282"/>
      <c r="R12" s="282"/>
    </row>
    <row r="13">
      <c r="A13" s="283" t="s">
        <v>2147</v>
      </c>
      <c r="B13" s="281"/>
      <c r="C13" s="281"/>
      <c r="D13" s="281"/>
      <c r="E13" s="281"/>
      <c r="F13" s="282"/>
      <c r="G13" s="282"/>
      <c r="H13" s="282"/>
      <c r="I13" s="282"/>
      <c r="J13" s="282"/>
      <c r="K13" s="282"/>
      <c r="L13" s="282"/>
      <c r="M13" s="282"/>
      <c r="N13" s="282"/>
      <c r="O13" s="282"/>
      <c r="P13" s="282"/>
      <c r="Q13" s="282"/>
      <c r="R13" s="282"/>
    </row>
    <row r="14">
      <c r="A14" s="284" t="s">
        <v>2148</v>
      </c>
      <c r="B14" s="281"/>
      <c r="C14" s="281"/>
      <c r="D14" s="281"/>
      <c r="E14" s="282"/>
      <c r="F14" s="282"/>
      <c r="G14" s="282"/>
      <c r="H14" s="282"/>
      <c r="I14" s="282"/>
      <c r="J14" s="282"/>
      <c r="K14" s="282"/>
      <c r="L14" s="282"/>
      <c r="M14" s="282"/>
      <c r="N14" s="282"/>
      <c r="O14" s="282"/>
      <c r="P14" s="282"/>
      <c r="Q14" s="282"/>
      <c r="R14" s="282"/>
    </row>
    <row r="15">
      <c r="A15" s="284" t="s">
        <v>2149</v>
      </c>
      <c r="B15" s="281"/>
      <c r="C15" s="281"/>
      <c r="D15" s="282"/>
      <c r="E15" s="282"/>
      <c r="F15" s="282"/>
      <c r="G15" s="282"/>
      <c r="H15" s="282"/>
      <c r="I15" s="282"/>
      <c r="J15" s="282"/>
      <c r="K15" s="282"/>
      <c r="L15" s="282"/>
      <c r="M15" s="282"/>
      <c r="N15" s="282"/>
      <c r="O15" s="282"/>
      <c r="P15" s="282"/>
      <c r="Q15" s="282"/>
      <c r="R15" s="282"/>
    </row>
    <row r="16">
      <c r="A16" s="284" t="s">
        <v>2150</v>
      </c>
      <c r="B16" s="281"/>
      <c r="C16" s="281"/>
      <c r="D16" s="281"/>
      <c r="E16" s="281"/>
      <c r="F16" s="282"/>
      <c r="G16" s="282"/>
      <c r="H16" s="282"/>
      <c r="I16" s="282"/>
      <c r="J16" s="282"/>
      <c r="K16" s="282"/>
      <c r="L16" s="282"/>
      <c r="M16" s="282"/>
      <c r="N16" s="282"/>
      <c r="O16" s="282"/>
      <c r="P16" s="282"/>
      <c r="Q16" s="282"/>
      <c r="R16" s="282"/>
    </row>
    <row r="17">
      <c r="A17" s="283" t="s">
        <v>2151</v>
      </c>
      <c r="B17" s="281"/>
      <c r="C17" s="281"/>
      <c r="D17" s="282"/>
      <c r="E17" s="282"/>
      <c r="F17" s="282"/>
      <c r="G17" s="282"/>
      <c r="H17" s="282"/>
      <c r="I17" s="282"/>
      <c r="J17" s="282"/>
      <c r="K17" s="282"/>
      <c r="L17" s="282"/>
      <c r="M17" s="282"/>
      <c r="N17" s="282"/>
      <c r="O17" s="282"/>
      <c r="P17" s="282"/>
      <c r="Q17" s="282"/>
      <c r="R17" s="282"/>
    </row>
    <row r="18">
      <c r="A18" s="284" t="s">
        <v>2152</v>
      </c>
      <c r="B18" s="281"/>
      <c r="C18" s="281"/>
      <c r="D18" s="281"/>
      <c r="E18" s="281"/>
      <c r="F18" s="282"/>
      <c r="G18" s="282"/>
      <c r="H18" s="282"/>
      <c r="I18" s="282"/>
      <c r="J18" s="282"/>
      <c r="K18" s="282"/>
      <c r="L18" s="282"/>
      <c r="M18" s="282"/>
      <c r="N18" s="282"/>
      <c r="O18" s="282"/>
      <c r="P18" s="282"/>
      <c r="Q18" s="282"/>
      <c r="R18" s="282"/>
    </row>
    <row r="19">
      <c r="A19" s="282"/>
      <c r="B19" s="282"/>
      <c r="C19" s="282"/>
      <c r="D19" s="282"/>
      <c r="E19" s="282"/>
      <c r="F19" s="282"/>
      <c r="G19" s="282"/>
      <c r="H19" s="282"/>
      <c r="I19" s="282"/>
      <c r="J19" s="282"/>
      <c r="K19" s="282"/>
      <c r="L19" s="282"/>
      <c r="M19" s="282"/>
      <c r="N19" s="282"/>
      <c r="O19" s="282"/>
      <c r="P19" s="282"/>
      <c r="Q19" s="282"/>
      <c r="R19" s="282"/>
    </row>
    <row r="20">
      <c r="A20" s="300" t="s">
        <v>2153</v>
      </c>
      <c r="B20" s="287"/>
      <c r="C20" s="287"/>
      <c r="D20" s="296"/>
      <c r="E20" s="296"/>
      <c r="F20" s="296"/>
      <c r="G20" s="296"/>
      <c r="H20" s="296"/>
      <c r="I20" s="296"/>
      <c r="J20" s="296"/>
      <c r="K20" s="296"/>
      <c r="L20" s="296"/>
      <c r="M20" s="296"/>
      <c r="N20" s="296"/>
      <c r="O20" s="296"/>
      <c r="P20" s="296"/>
      <c r="Q20" s="296"/>
      <c r="R20" s="296"/>
    </row>
    <row r="21">
      <c r="A21" s="288" t="s">
        <v>2154</v>
      </c>
      <c r="B21" s="289" t="s">
        <v>2155</v>
      </c>
      <c r="C21" s="289" t="s">
        <v>1893</v>
      </c>
      <c r="D21" s="289" t="s">
        <v>1898</v>
      </c>
      <c r="E21" s="289" t="s">
        <v>2156</v>
      </c>
      <c r="F21" s="289" t="s">
        <v>2157</v>
      </c>
      <c r="G21" s="289" t="s">
        <v>2158</v>
      </c>
      <c r="H21" s="289" t="s">
        <v>2159</v>
      </c>
      <c r="I21" s="289" t="s">
        <v>2160</v>
      </c>
      <c r="J21" s="289" t="s">
        <v>2161</v>
      </c>
      <c r="K21" s="289" t="s">
        <v>2162</v>
      </c>
      <c r="L21" s="289" t="s">
        <v>2163</v>
      </c>
      <c r="M21" s="289" t="s">
        <v>2164</v>
      </c>
      <c r="N21" s="289" t="s">
        <v>2165</v>
      </c>
      <c r="O21" s="289" t="s">
        <v>2166</v>
      </c>
      <c r="P21" s="289" t="s">
        <v>2167</v>
      </c>
      <c r="Q21" s="289" t="s">
        <v>2168</v>
      </c>
      <c r="R21" s="289" t="s">
        <v>2169</v>
      </c>
    </row>
    <row r="22">
      <c r="A22" s="301" t="s">
        <v>2170</v>
      </c>
      <c r="B22" s="302">
        <f>(B26+IFS(D7&gt;6999,10,D7&gt;6599,9,D7&gt;6299,8,D7&gt;5999,7,D7&gt;5599,6,D7&gt;5299,5,D7&gt;4999,4,D7&gt;4599,3,D7&gt;4299,2,D7&gt;3999,1,D7&lt;4000,0))/B26*((180*3+52*8+8*12)*25*5964/6000+12*(24+12+24))/24</f>
        <v>1266.347724</v>
      </c>
      <c r="C22" s="302"/>
      <c r="D22" s="302"/>
      <c r="E22" s="302">
        <f>180*25*5964/6000*A11/24</f>
        <v>4473</v>
      </c>
      <c r="F22" s="302">
        <f>52*25*5964/6000*A11/24</f>
        <v>1292.2</v>
      </c>
      <c r="G22" s="302">
        <f>4*25*5964/6000*A11/24</f>
        <v>99.4</v>
      </c>
      <c r="H22" s="302">
        <f>4*25*5964/6000*A11/24</f>
        <v>99.4</v>
      </c>
      <c r="I22" s="303"/>
      <c r="J22" s="302"/>
      <c r="K22" s="302">
        <f>12*A11/24</f>
        <v>12</v>
      </c>
      <c r="L22" s="302"/>
      <c r="M22" s="302"/>
      <c r="N22" s="302"/>
      <c r="O22" s="302"/>
      <c r="P22" s="302">
        <f>IFS(A7&lt;5,A7*2+4,A7&lt;9,A7*2+3,A7&lt;14,20)*12*A11/24</f>
        <v>240</v>
      </c>
      <c r="Q22" s="302">
        <f>12*A11/24</f>
        <v>12</v>
      </c>
      <c r="R22" s="302"/>
    </row>
    <row r="23">
      <c r="A23" s="301" t="s">
        <v>2171</v>
      </c>
      <c r="B23" s="302">
        <f>IF(AND(B11=0,J11=0),1,IFS(A7&lt;5,2100*3+250*3,A7&lt;7,2700*3+250*3,A7&lt;14,2700*3+500*2+250*3)/(20*B11+J11*5))</f>
        <v>281.4285714</v>
      </c>
      <c r="C23" s="302">
        <f>IF(AND(B11=0,J11=0),0,IF(A7&lt;7,6,5)/15*IFS(A7&lt;5,2100*3+250*3,A7&lt;7,2700*3+250*3,A7&lt;14,2700*3+500*2+250*3)/(20*B11+J11*5)*B11*IF(A7&lt;13,A7*45+135,750))</f>
        <v>70357.14286</v>
      </c>
      <c r="D23" s="302">
        <f>IF(AND(B11=0,J11=0),0,2/15*IFS(A7&lt;5,2100*3+250*3,A7&lt;7,2700*3+250*3,A7&lt;14,2700*3+500*2+250*3)/(20*B11+J11*5)*B11*15)</f>
        <v>562.8571429</v>
      </c>
      <c r="E23" s="302"/>
      <c r="F23" s="302">
        <f>IF(AND(B11=0,J11=0),0,IF(A7&lt;5,2*9,5*3))</f>
        <v>15</v>
      </c>
      <c r="G23" s="302">
        <f>IF(AND(B11=0,J11=0),0,IF(A7&lt;5,1*9,2*3))</f>
        <v>6</v>
      </c>
      <c r="H23" s="302">
        <f>IF(AND(B11=0,J11=0),0,IF(A7&lt;5,1*9,2*3))</f>
        <v>6</v>
      </c>
      <c r="I23" s="302"/>
      <c r="J23" s="302"/>
      <c r="K23" s="302">
        <f>IF(AND(B11=0,J11=0),0,IF(A7&lt;5,0,3))</f>
        <v>3</v>
      </c>
      <c r="L23" s="302">
        <f>IF(AND(B11=0,J11=0),0,3)</f>
        <v>3</v>
      </c>
      <c r="M23" s="302">
        <f>IF(AND(B11=0,J11=0),0,IF(A7&lt;5,0,2))</f>
        <v>2</v>
      </c>
      <c r="N23" s="302">
        <f>IF(AND(B11=0,J11=0),0,IF(A7&lt;3,4,3)/15*IFS(A7&lt;5,2100*3+250*3,A7&lt;7,2700*3+250*3,A7&lt;14,2700*3+500*2+250*3)/(20*B11+J11*5)*B11*IFS(A7&lt;11,A7*6+9,A7=11,72,A7&lt;14,75))</f>
        <v>4221.428571</v>
      </c>
      <c r="O23" s="302">
        <f>IF(AND(B11=0,J11=0),0,3/15*IFS(A7&lt;5,2100*3+250*3,A7&lt;7,2700*3+250*3,A7&lt;14,2700*3+500*2+250*3)/(20*B11+J11*5)*B11*IF(A7&lt;12,(ROUNDDOWN(A7/2,0)+5)*1.5,15))</f>
        <v>844.2857143</v>
      </c>
      <c r="P23" s="302">
        <f>IF(AND(B11=0,J11=0),0,IFS(A7&lt;3,0,A7&lt;7,1,A7&lt;14,2)/15*IFS(A7&lt;5,2100*3+250*3,A7&lt;7,2700*3+250*3,A7&lt;14,2700*3+500*2+250*3)/(20*B11+J11*5)*B11*1.5+3*IFS(A7&lt;5,0,A7&lt;9,A7*2+3,A7&lt;14,20))</f>
        <v>116.2857143</v>
      </c>
      <c r="Q23" s="302">
        <f>IF(AND(B11=0,J11=0),0,IF(A7&lt;5,0,3))</f>
        <v>3</v>
      </c>
      <c r="R23" s="302"/>
    </row>
    <row r="24">
      <c r="A24" s="301" t="s">
        <v>2172</v>
      </c>
      <c r="B24" s="302">
        <f>1/3</f>
        <v>0.3333333333</v>
      </c>
      <c r="C24" s="302">
        <f>IF(A7&gt;2,0.16,15/91)*J11/3*IF(A7&lt;13,A7*20+60,300)</f>
        <v>48</v>
      </c>
      <c r="D24" s="302"/>
      <c r="E24" s="302"/>
      <c r="F24" s="302"/>
      <c r="G24" s="302"/>
      <c r="H24" s="302"/>
      <c r="I24" s="302"/>
      <c r="J24" s="302">
        <f>IF(A7&gt;2,0.7,66/91)*J11/3</f>
        <v>0.7</v>
      </c>
      <c r="K24" s="302"/>
      <c r="L24" s="302"/>
      <c r="M24" s="302"/>
      <c r="N24" s="302"/>
      <c r="O24" s="302">
        <f>IF(A7&gt;2,0.11,10/91)*J11/3*IFS(A7&lt;2,1,A7&lt;5,2,A7&lt;8,3,A7&lt;10,4,A7&lt;14,5)</f>
        <v>0.55</v>
      </c>
      <c r="P24" s="302">
        <f>IF(A7&gt;2,0.03,0)*J11/3</f>
        <v>0.03</v>
      </c>
      <c r="Q24" s="302"/>
      <c r="R24" s="302"/>
    </row>
    <row r="25">
      <c r="A25" s="304" t="s">
        <v>2173</v>
      </c>
      <c r="B25" s="302">
        <v>7.0</v>
      </c>
      <c r="C25" s="302"/>
      <c r="D25" s="302"/>
      <c r="E25" s="302"/>
      <c r="F25" s="302"/>
      <c r="G25" s="302"/>
      <c r="H25" s="302"/>
      <c r="I25" s="302"/>
      <c r="J25" s="302"/>
      <c r="K25" s="302"/>
      <c r="L25" s="302"/>
      <c r="M25" s="302"/>
      <c r="N25" s="302">
        <f>C11*IFS(A7&lt;4,10,A7&lt;7,20,A7&lt;10,30,A7&lt;14,40)</f>
        <v>400</v>
      </c>
      <c r="O25" s="302">
        <f>D11*IFS(A7&lt;4,1,A7&lt;7,2,A7&lt;10,3,A7&lt;14,4)</f>
        <v>40</v>
      </c>
      <c r="P25" s="302">
        <f>E11*IFS(A7&lt;4,1,A7&lt;7,2,A7&lt;10,3,A7&lt;14,4)</f>
        <v>4</v>
      </c>
      <c r="Q25" s="302"/>
      <c r="R25" s="302"/>
    </row>
    <row r="26">
      <c r="A26" s="304" t="s">
        <v>2174</v>
      </c>
      <c r="B26" s="302">
        <f>365.25/12</f>
        <v>30.4375</v>
      </c>
      <c r="C26" s="302">
        <f>IFS(D7&gt;6699,38000,D7&gt;6374,28000,D7&gt;6074,23000,D7&gt;5699,18000,D7&gt;5374,14000,D7&gt;5074,10000,D7&gt;4699,7000,D7&gt;4374,4000,D7&gt;4074,2000,D7&lt;4075,0)</f>
        <v>7000</v>
      </c>
      <c r="D26" s="302">
        <f>IF(D7&gt;5449,100,0)</f>
        <v>0</v>
      </c>
      <c r="E26" s="302"/>
      <c r="F26" s="302"/>
      <c r="G26" s="302">
        <f>IFS(D7&gt;6524,2,D7&gt;5524,1,D7&lt;5525,0)</f>
        <v>0</v>
      </c>
      <c r="H26" s="302">
        <f>IF(D7&gt;5224,1,0)</f>
        <v>0</v>
      </c>
      <c r="I26" s="302">
        <f>IF(B26/7*I11&lt;(B26-1),B26/7*I11,B26-1)</f>
        <v>29.4375</v>
      </c>
      <c r="J26" s="302"/>
      <c r="K26" s="302"/>
      <c r="L26" s="302">
        <f>IFS(D7&lt;4225,0,D7&gt;4224,1,D7&gt;6224,2)</f>
        <v>1</v>
      </c>
      <c r="M26" s="302"/>
      <c r="N26" s="302"/>
      <c r="O26" s="302">
        <f>IF(D7&gt;5149,50,0)</f>
        <v>0</v>
      </c>
      <c r="P26" s="302">
        <f>IFS(D7&gt;5799,35,D7&gt;4899,25,D7&gt;4449,5,D7&lt;4450,0)</f>
        <v>25</v>
      </c>
      <c r="Q26" s="302">
        <f>IF(B26/7*I11&lt;(B26-1),0,B26/7*I11-(B26-1))+IFS(D7&gt;5899,2,D7&gt;4524,1,D7&lt;4525,0)</f>
        <v>2</v>
      </c>
      <c r="R26" s="302"/>
    </row>
    <row r="27">
      <c r="A27" s="301" t="s">
        <v>2175</v>
      </c>
      <c r="B27" s="303">
        <v>10.0</v>
      </c>
      <c r="C27" s="302">
        <f>2*IFS(A7&lt;2,20,A7&lt;12,20*A7-20,A7&lt;14,200)*F11</f>
        <v>400</v>
      </c>
      <c r="D27" s="302">
        <f>10*F11</f>
        <v>10</v>
      </c>
      <c r="E27" s="302">
        <f>2*0.95*F11</f>
        <v>1.9</v>
      </c>
      <c r="F27" s="302">
        <f>2*0.05*F11</f>
        <v>0.1</v>
      </c>
      <c r="G27" s="302"/>
      <c r="H27" s="302"/>
      <c r="I27" s="302"/>
      <c r="J27" s="302"/>
      <c r="K27" s="302"/>
      <c r="L27" s="302"/>
      <c r="M27" s="302"/>
      <c r="N27" s="302"/>
      <c r="O27" s="302"/>
      <c r="P27" s="302">
        <f>10/7*F11</f>
        <v>1.428571429</v>
      </c>
      <c r="Q27" s="302"/>
      <c r="R27" s="302"/>
    </row>
    <row r="28">
      <c r="A28" s="304" t="s">
        <v>2176</v>
      </c>
      <c r="B28" s="302">
        <v>14.0</v>
      </c>
      <c r="C28" s="302">
        <f>IF(C7=0,0,((150+120*C7)*(5^G11-4^G11)/5^G11+(90+120*C7)*(4^G11-3^G11)/5^G11+(30+120*C7)*(3^G11-2^G11)/5^G11+(-30+120*C7)*(2^G11-1^G11)/5^G11+(-30+120*C7)/5^G11)*14*N11+G11*(1.625*5*(50+C7*50)))</f>
        <v>22837.69835</v>
      </c>
      <c r="D28" s="302">
        <f>IF(C7=0,0,G11*175/10*0.125)</f>
        <v>15.3125</v>
      </c>
      <c r="E28" s="302"/>
      <c r="F28" s="302"/>
      <c r="G28" s="302"/>
      <c r="H28" s="302"/>
      <c r="I28" s="302"/>
      <c r="J28" s="302"/>
      <c r="K28" s="302"/>
      <c r="L28" s="302"/>
      <c r="M28" s="302"/>
      <c r="N28" s="302">
        <f>IF(C7=0,0,((150+120*C7)*(5^G11-4^G11)/5^G11+(90+120*C7)*(4^G11-3^G11)/5^G11+(30+120*C7)*(3^G11-2^G11)/5^G11+(-30+120*C7)*(2^G11-1^G11)/5^G11+(-30+120*C7)/5^G11)*N11-O28-P28-Q28)</f>
        <v>476.2300149</v>
      </c>
      <c r="O28" s="302">
        <f>IF(C7=0,0,((150+120*C7)*(5^G11-4^G11)/5^G11+(90+120*C7)*(4^G11-3^G11)/5^G11+(30+120*C7)*(3^G11-2^G11)/5^G11+(-30+120*C7)*(2^G11-1^G11)/5^G11+(-30+120*C7)/5^G11)*N11/5)</f>
        <v>123.1278336</v>
      </c>
      <c r="P28" s="302">
        <f>IF(C7=0,0,((150+120*C7)*(5^G11-4^G11)/5^G11+(90+120*C7)*(4^G11-3^G11)/5^G11+(30+120*C7)*(3^G11-2^G11)/5^G11+(-30+120*C7)*(2^G11-1^G11)/5^G11+(-30+120*C7)/5^G11)*N11/40)</f>
        <v>15.3909792</v>
      </c>
      <c r="Q28" s="302">
        <f>IF(C7=0,0,(IFS(C7=1,1/10,C7=2,1/5,C7=3,1/3,C7=4,1)*(5^G11-4^G11)/5^G11+IFS(C7=1,0,C7=2,1/8,C7=3,1/4,C7=4,1/2)*(4^G11-3^G11)/5^G11+IFS(C7=1,0,C7=2,1/10,C7=3,1/5,C7=4,1/3)*(3^G11-2^G11)/5^G11+IFS(C7=1,0,C7=2,0,C7=3,1/8,C7=4,1/4)*((2^G11-1^G11)/5^G11+1/5^G11))*N11)</f>
        <v>0.8903402667</v>
      </c>
      <c r="R28" s="302"/>
    </row>
    <row r="29">
      <c r="A29" s="301" t="s">
        <v>1957</v>
      </c>
      <c r="B29" s="302">
        <v>1.0</v>
      </c>
      <c r="C29" s="302">
        <f>IF(H11&lt;40,H11/2,20)*IF(A7=13,2*(12+B7),IFS(A7&lt;5,2*A7+3,A7&lt;7,2*A7+2,A7=7,15,A7&lt;13,2*A7))</f>
        <v>640</v>
      </c>
      <c r="D29" s="302"/>
      <c r="E29" s="302"/>
      <c r="F29" s="302"/>
      <c r="G29" s="302"/>
      <c r="H29" s="302"/>
      <c r="I29" s="302"/>
      <c r="J29" s="302"/>
      <c r="K29" s="302"/>
      <c r="L29" s="302"/>
      <c r="M29" s="302"/>
      <c r="N29" s="302"/>
      <c r="O29" s="302"/>
      <c r="P29" s="302"/>
      <c r="Q29" s="302"/>
      <c r="R29" s="302"/>
    </row>
    <row r="30">
      <c r="A30" s="304" t="s">
        <v>2177</v>
      </c>
      <c r="B30" s="302">
        <v>7.0</v>
      </c>
      <c r="C30" s="302">
        <f>5*K11+50*L11+500*M11</f>
        <v>6000</v>
      </c>
      <c r="D30" s="302"/>
      <c r="E30" s="302"/>
      <c r="F30" s="302"/>
      <c r="G30" s="302"/>
      <c r="H30" s="302"/>
      <c r="I30" s="302"/>
      <c r="J30" s="302"/>
      <c r="K30" s="302"/>
      <c r="L30" s="302"/>
      <c r="M30" s="302"/>
      <c r="N30" s="302">
        <f t="shared" ref="N30:P30" si="1">-K11</f>
        <v>-400</v>
      </c>
      <c r="O30" s="302">
        <f t="shared" si="1"/>
        <v>-40</v>
      </c>
      <c r="P30" s="302">
        <f t="shared" si="1"/>
        <v>-4</v>
      </c>
      <c r="Q30" s="302"/>
      <c r="R30" s="302">
        <f>1*K11+10*L11+10*M11</f>
        <v>840</v>
      </c>
    </row>
    <row r="31">
      <c r="A31" s="282"/>
      <c r="B31" s="282"/>
      <c r="C31" s="282"/>
      <c r="D31" s="282"/>
      <c r="E31" s="282"/>
      <c r="F31" s="282"/>
      <c r="G31" s="282"/>
      <c r="H31" s="282"/>
      <c r="I31" s="282"/>
      <c r="J31" s="282"/>
      <c r="K31" s="282"/>
      <c r="L31" s="282"/>
      <c r="M31" s="282"/>
      <c r="N31" s="282"/>
      <c r="O31" s="282"/>
      <c r="P31" s="282"/>
      <c r="Q31" s="282"/>
      <c r="R31" s="282"/>
    </row>
    <row r="32">
      <c r="A32" s="300" t="s">
        <v>2178</v>
      </c>
      <c r="B32" s="287"/>
      <c r="C32" s="287"/>
      <c r="D32" s="296"/>
      <c r="E32" s="296"/>
      <c r="F32" s="296"/>
      <c r="G32" s="296"/>
      <c r="H32" s="296"/>
      <c r="I32" s="296"/>
      <c r="J32" s="296"/>
      <c r="K32" s="296"/>
      <c r="L32" s="282"/>
      <c r="M32" s="282"/>
      <c r="N32" s="282"/>
      <c r="O32" s="282"/>
      <c r="P32" s="282"/>
      <c r="Q32" s="282"/>
      <c r="R32" s="282"/>
    </row>
    <row r="33">
      <c r="A33" s="288" t="s">
        <v>1686</v>
      </c>
      <c r="B33" s="289" t="s">
        <v>2179</v>
      </c>
      <c r="C33" s="289" t="s">
        <v>2180</v>
      </c>
      <c r="D33" s="289" t="s">
        <v>2181</v>
      </c>
      <c r="E33" s="289" t="s">
        <v>2182</v>
      </c>
      <c r="F33" s="289" t="s">
        <v>1893</v>
      </c>
      <c r="G33" s="289" t="s">
        <v>1898</v>
      </c>
      <c r="H33" s="289" t="s">
        <v>2165</v>
      </c>
      <c r="I33" s="289" t="s">
        <v>2166</v>
      </c>
      <c r="J33" s="289" t="s">
        <v>2167</v>
      </c>
      <c r="K33" s="289" t="s">
        <v>2168</v>
      </c>
      <c r="L33" s="282"/>
      <c r="M33" s="282"/>
      <c r="N33" s="282"/>
      <c r="O33" s="282"/>
      <c r="P33" s="282"/>
      <c r="Q33" s="282"/>
      <c r="R33" s="282"/>
    </row>
    <row r="34">
      <c r="A34" s="301" t="s">
        <v>2156</v>
      </c>
      <c r="B34" s="302">
        <f>ROUND(4*IF(A$7&lt;3,0.65+A$7*0.35,0.8+A$7*0.3),0)</f>
        <v>19</v>
      </c>
      <c r="C34" s="302">
        <v>9.0</v>
      </c>
      <c r="D34" s="302">
        <v>500.0</v>
      </c>
      <c r="E34" s="302">
        <v>10000.0</v>
      </c>
      <c r="F34" s="302">
        <f>B34*7.5</f>
        <v>142.5</v>
      </c>
      <c r="G34" s="302"/>
      <c r="H34" s="302">
        <f t="shared" ref="H34:H42" si="2">B34-I34-J34-K34</f>
        <v>16.84962222</v>
      </c>
      <c r="I34" s="302">
        <f t="shared" ref="I34:I42" si="3">B34/C34</f>
        <v>2.111111111</v>
      </c>
      <c r="J34" s="302">
        <f t="shared" ref="J34:J42" si="4">B34/D34</f>
        <v>0.038</v>
      </c>
      <c r="K34" s="302">
        <f t="shared" ref="K34:K41" si="5">B34/E34*IFS(A$7&lt;4,0,A$7&lt;9,2*A$7-6,A$7=9,11,A$7&lt;13,2*A$7-8,A$7=13,16)/IFS(A$7&lt;10,2*A$7+4,A$7=10,23,A$7&lt;14,24)</f>
        <v>0.001266666667</v>
      </c>
      <c r="L34" s="282"/>
      <c r="M34" s="282"/>
      <c r="N34" s="282"/>
      <c r="O34" s="282"/>
      <c r="P34" s="282"/>
      <c r="Q34" s="282"/>
      <c r="R34" s="282"/>
    </row>
    <row r="35">
      <c r="A35" s="301" t="s">
        <v>2157</v>
      </c>
      <c r="B35" s="302">
        <f>ROUND(8*IF(A$7&lt;3,0.65+A$7*0.35,0.8+A$7*0.3),0)</f>
        <v>38</v>
      </c>
      <c r="C35" s="302">
        <v>4.0</v>
      </c>
      <c r="D35" s="302">
        <v>200.0</v>
      </c>
      <c r="E35" s="302">
        <v>4000.0</v>
      </c>
      <c r="F35" s="302">
        <f>B35*15</f>
        <v>570</v>
      </c>
      <c r="G35" s="302"/>
      <c r="H35" s="302">
        <f t="shared" si="2"/>
        <v>28.30366667</v>
      </c>
      <c r="I35" s="302">
        <f t="shared" si="3"/>
        <v>9.5</v>
      </c>
      <c r="J35" s="302">
        <f t="shared" si="4"/>
        <v>0.19</v>
      </c>
      <c r="K35" s="302">
        <f t="shared" si="5"/>
        <v>0.006333333333</v>
      </c>
      <c r="L35" s="282"/>
      <c r="M35" s="282"/>
      <c r="N35" s="282"/>
      <c r="O35" s="282"/>
      <c r="P35" s="282"/>
      <c r="Q35" s="282"/>
      <c r="R35" s="282"/>
    </row>
    <row r="36">
      <c r="A36" s="301" t="s">
        <v>2158</v>
      </c>
      <c r="B36" s="302">
        <f>ROUND(20*IF(A$7&lt;3,0.65+A$7*0.35,0.8+A$7*0.3),0)</f>
        <v>94</v>
      </c>
      <c r="C36" s="302">
        <v>5.0</v>
      </c>
      <c r="D36" s="302">
        <v>10.0</v>
      </c>
      <c r="E36" s="302">
        <v>300.0</v>
      </c>
      <c r="F36" s="302">
        <f>B36*16</f>
        <v>1504</v>
      </c>
      <c r="G36" s="302"/>
      <c r="H36" s="302">
        <f t="shared" si="2"/>
        <v>65.59111111</v>
      </c>
      <c r="I36" s="302">
        <f t="shared" si="3"/>
        <v>18.8</v>
      </c>
      <c r="J36" s="302">
        <f t="shared" si="4"/>
        <v>9.4</v>
      </c>
      <c r="K36" s="302">
        <f t="shared" si="5"/>
        <v>0.2088888889</v>
      </c>
      <c r="L36" s="282"/>
      <c r="M36" s="282"/>
      <c r="N36" s="282"/>
      <c r="O36" s="282"/>
      <c r="P36" s="282"/>
      <c r="Q36" s="282"/>
      <c r="R36" s="282"/>
    </row>
    <row r="37">
      <c r="A37" s="301" t="s">
        <v>2159</v>
      </c>
      <c r="B37" s="302">
        <f>ROUND(70*IF(A$7&lt;3,0.65+A$7*0.35,0.8+A$7*0.3),0)</f>
        <v>329</v>
      </c>
      <c r="C37" s="302">
        <v>5.0</v>
      </c>
      <c r="D37" s="302">
        <v>500.0</v>
      </c>
      <c r="E37" s="302">
        <v>10000.0</v>
      </c>
      <c r="F37" s="302">
        <f>B37*9</f>
        <v>2961</v>
      </c>
      <c r="G37" s="302"/>
      <c r="H37" s="302">
        <f t="shared" si="2"/>
        <v>262.5200667</v>
      </c>
      <c r="I37" s="302">
        <f t="shared" si="3"/>
        <v>65.8</v>
      </c>
      <c r="J37" s="302">
        <f t="shared" si="4"/>
        <v>0.658</v>
      </c>
      <c r="K37" s="302">
        <f t="shared" si="5"/>
        <v>0.02193333333</v>
      </c>
      <c r="L37" s="282"/>
      <c r="M37" s="282"/>
      <c r="N37" s="282"/>
      <c r="O37" s="282"/>
      <c r="P37" s="282"/>
      <c r="Q37" s="282"/>
      <c r="R37" s="282"/>
    </row>
    <row r="38">
      <c r="A38" s="301" t="s">
        <v>2160</v>
      </c>
      <c r="B38" s="302">
        <f>ROUND(16*IF(A$7&lt;3,0.65+A$7*0.35,0.8+A$7*0.3),0)</f>
        <v>75</v>
      </c>
      <c r="C38" s="302">
        <v>6.0</v>
      </c>
      <c r="D38" s="302">
        <v>120.0</v>
      </c>
      <c r="E38" s="302">
        <v>2400.0</v>
      </c>
      <c r="F38" s="302">
        <f>B38*15</f>
        <v>1125</v>
      </c>
      <c r="G38" s="302">
        <f>60/24</f>
        <v>2.5</v>
      </c>
      <c r="H38" s="302">
        <f t="shared" si="2"/>
        <v>61.85416667</v>
      </c>
      <c r="I38" s="302">
        <f t="shared" si="3"/>
        <v>12.5</v>
      </c>
      <c r="J38" s="302">
        <f t="shared" si="4"/>
        <v>0.625</v>
      </c>
      <c r="K38" s="302">
        <f t="shared" si="5"/>
        <v>0.02083333333</v>
      </c>
      <c r="L38" s="282"/>
      <c r="M38" s="282"/>
      <c r="N38" s="282"/>
      <c r="O38" s="282"/>
      <c r="P38" s="282"/>
      <c r="Q38" s="282"/>
      <c r="R38" s="282"/>
    </row>
    <row r="39">
      <c r="A39" s="301" t="s">
        <v>2161</v>
      </c>
      <c r="B39" s="302">
        <f>2+A7</f>
        <v>15</v>
      </c>
      <c r="C39" s="302">
        <v>10.0</v>
      </c>
      <c r="D39" s="302">
        <v>200.0</v>
      </c>
      <c r="E39" s="302">
        <v>4000.0</v>
      </c>
      <c r="F39" s="302">
        <f>B39*7.5</f>
        <v>112.5</v>
      </c>
      <c r="G39" s="302">
        <f>14/24</f>
        <v>0.5833333333</v>
      </c>
      <c r="H39" s="302">
        <f t="shared" si="2"/>
        <v>13.4225</v>
      </c>
      <c r="I39" s="302">
        <f t="shared" si="3"/>
        <v>1.5</v>
      </c>
      <c r="J39" s="302">
        <f t="shared" si="4"/>
        <v>0.075</v>
      </c>
      <c r="K39" s="302">
        <f t="shared" si="5"/>
        <v>0.0025</v>
      </c>
      <c r="L39" s="282"/>
      <c r="M39" s="282"/>
      <c r="N39" s="282"/>
      <c r="O39" s="282"/>
      <c r="P39" s="282"/>
      <c r="Q39" s="282"/>
      <c r="R39" s="282"/>
    </row>
    <row r="40">
      <c r="A40" s="301" t="s">
        <v>2162</v>
      </c>
      <c r="B40" s="302">
        <f>ROUND(180*IF(A$7&lt;3,0.65+A$7*0.35,0.8+A$7*0.3),0)</f>
        <v>846</v>
      </c>
      <c r="C40" s="302">
        <v>5.0</v>
      </c>
      <c r="D40" s="302">
        <v>30.0</v>
      </c>
      <c r="E40" s="302">
        <v>600.0</v>
      </c>
      <c r="F40" s="302">
        <f>B40*9</f>
        <v>7614</v>
      </c>
      <c r="G40" s="302"/>
      <c r="H40" s="302">
        <f t="shared" si="2"/>
        <v>647.66</v>
      </c>
      <c r="I40" s="302">
        <f t="shared" si="3"/>
        <v>169.2</v>
      </c>
      <c r="J40" s="302">
        <f t="shared" si="4"/>
        <v>28.2</v>
      </c>
      <c r="K40" s="302">
        <f t="shared" si="5"/>
        <v>0.94</v>
      </c>
      <c r="L40" s="282"/>
      <c r="M40" s="282"/>
      <c r="N40" s="282"/>
      <c r="O40" s="282"/>
      <c r="P40" s="282"/>
      <c r="Q40" s="282"/>
      <c r="R40" s="282"/>
    </row>
    <row r="41">
      <c r="A41" s="301" t="s">
        <v>2163</v>
      </c>
      <c r="B41" s="302">
        <f>A$7*4+77</f>
        <v>129</v>
      </c>
      <c r="C41" s="302">
        <v>6.0</v>
      </c>
      <c r="D41" s="302">
        <v>50.0</v>
      </c>
      <c r="E41" s="302">
        <v>8000.0</v>
      </c>
      <c r="F41" s="302">
        <f>B41*5</f>
        <v>645</v>
      </c>
      <c r="G41" s="302"/>
      <c r="H41" s="302">
        <f t="shared" si="2"/>
        <v>104.90925</v>
      </c>
      <c r="I41" s="302">
        <f t="shared" si="3"/>
        <v>21.5</v>
      </c>
      <c r="J41" s="302">
        <f t="shared" si="4"/>
        <v>2.58</v>
      </c>
      <c r="K41" s="302">
        <f t="shared" si="5"/>
        <v>0.01075</v>
      </c>
      <c r="L41" s="282"/>
      <c r="M41" s="282"/>
      <c r="N41" s="282"/>
      <c r="O41" s="282"/>
      <c r="P41" s="282"/>
      <c r="Q41" s="282"/>
      <c r="R41" s="282"/>
    </row>
    <row r="42">
      <c r="A42" s="301" t="s">
        <v>2164</v>
      </c>
      <c r="B42" s="302">
        <f>IF(A7&lt;7,0,A$7*10+230)</f>
        <v>360</v>
      </c>
      <c r="C42" s="302">
        <v>5.0</v>
      </c>
      <c r="D42" s="302">
        <v>15.0</v>
      </c>
      <c r="E42" s="302">
        <v>400.0</v>
      </c>
      <c r="F42" s="302">
        <f>B42*12</f>
        <v>4320</v>
      </c>
      <c r="G42" s="302"/>
      <c r="H42" s="302">
        <f t="shared" si="2"/>
        <v>263</v>
      </c>
      <c r="I42" s="302">
        <f t="shared" si="3"/>
        <v>72</v>
      </c>
      <c r="J42" s="302">
        <f t="shared" si="4"/>
        <v>24</v>
      </c>
      <c r="K42" s="302">
        <v>1.0</v>
      </c>
      <c r="L42" s="282"/>
      <c r="M42" s="282"/>
      <c r="N42" s="282"/>
      <c r="O42" s="282"/>
      <c r="P42" s="282"/>
      <c r="Q42" s="282"/>
      <c r="R42" s="282"/>
    </row>
    <row r="43">
      <c r="A43" s="282"/>
      <c r="B43" s="282"/>
      <c r="C43" s="282"/>
      <c r="D43" s="282"/>
      <c r="E43" s="282"/>
      <c r="F43" s="282"/>
      <c r="G43" s="282"/>
      <c r="H43" s="282"/>
      <c r="I43" s="282"/>
      <c r="J43" s="282"/>
      <c r="K43" s="282"/>
      <c r="L43" s="282"/>
      <c r="M43" s="282"/>
      <c r="N43" s="282"/>
      <c r="O43" s="282"/>
      <c r="P43" s="282"/>
      <c r="Q43" s="282"/>
      <c r="R43" s="282"/>
    </row>
    <row r="44">
      <c r="A44" s="295" t="s">
        <v>2183</v>
      </c>
      <c r="B44" s="296"/>
      <c r="C44" s="296"/>
      <c r="D44" s="296"/>
      <c r="E44" s="296"/>
      <c r="F44" s="296"/>
      <c r="G44" s="296"/>
      <c r="H44" s="296"/>
      <c r="I44" s="282"/>
      <c r="J44" s="282"/>
      <c r="K44" s="282"/>
      <c r="L44" s="282"/>
      <c r="M44" s="282"/>
      <c r="N44" s="282"/>
      <c r="O44" s="282"/>
      <c r="P44" s="282"/>
      <c r="Q44" s="282"/>
      <c r="R44" s="282"/>
    </row>
    <row r="45">
      <c r="A45" s="288" t="s">
        <v>2154</v>
      </c>
      <c r="B45" s="289" t="s">
        <v>1893</v>
      </c>
      <c r="C45" s="289" t="s">
        <v>1898</v>
      </c>
      <c r="D45" s="289" t="s">
        <v>2165</v>
      </c>
      <c r="E45" s="289" t="s">
        <v>2166</v>
      </c>
      <c r="F45" s="289" t="s">
        <v>2167</v>
      </c>
      <c r="G45" s="289" t="s">
        <v>2168</v>
      </c>
      <c r="H45" s="289" t="s">
        <v>2169</v>
      </c>
      <c r="I45" s="282"/>
      <c r="J45" s="282"/>
      <c r="K45" s="282"/>
      <c r="L45" s="282"/>
      <c r="M45" s="282"/>
      <c r="N45" s="282"/>
      <c r="O45" s="282"/>
      <c r="P45" s="282"/>
      <c r="Q45" s="282"/>
      <c r="R45" s="282"/>
    </row>
    <row r="46">
      <c r="A46" s="301" t="s">
        <v>2170</v>
      </c>
      <c r="B46" s="302">
        <f t="shared" ref="B46:B54" si="7">(C22+E22*F$34+F22*F$35+G22*F$36+H22*F$37+I22*F$38+J22*F$39+K22*F$40+L22*F$41+M22*F$42)/B22</f>
        <v>1507.59974</v>
      </c>
      <c r="C46" s="302">
        <f t="shared" ref="C46:C54" si="8">(D22+I22*G$38+J22*G$39)/B22</f>
        <v>0</v>
      </c>
      <c r="D46" s="302">
        <f t="shared" ref="D46:G46" si="6">(N22+$E22*H$34+$F22*H$35+$G22*H$36+$H22*H$37+$I22*H$38+$J22*H$39+$K22*H$40+$L22*H$41+$M22*H$42)/$B22</f>
        <v>120.2896538</v>
      </c>
      <c r="E46" s="302">
        <f t="shared" si="6"/>
        <v>25.39471536</v>
      </c>
      <c r="F46" s="302">
        <f t="shared" si="6"/>
        <v>1.574336307</v>
      </c>
      <c r="G46" s="302">
        <f t="shared" si="6"/>
        <v>0.04743836237</v>
      </c>
      <c r="H46" s="302">
        <f t="shared" ref="H46:H54" si="10">R22/B22</f>
        <v>0</v>
      </c>
      <c r="I46" s="282"/>
      <c r="J46" s="282"/>
      <c r="K46" s="282"/>
      <c r="L46" s="282"/>
      <c r="M46" s="282"/>
      <c r="N46" s="282"/>
      <c r="O46" s="282"/>
      <c r="P46" s="282"/>
      <c r="Q46" s="282"/>
      <c r="R46" s="282"/>
    </row>
    <row r="47">
      <c r="A47" s="301" t="s">
        <v>2171</v>
      </c>
      <c r="B47" s="302">
        <f t="shared" si="7"/>
        <v>494.3142132</v>
      </c>
      <c r="C47" s="302">
        <f t="shared" si="8"/>
        <v>2</v>
      </c>
      <c r="D47" s="302">
        <f t="shared" ref="D47:G47" si="9">(N23+$E23*H$34+$F23*H$35+$G23*H$36+$H23*H$37+$I23*H$38+$J23*H$39+$K23*H$40+$L23*H$41+$M23*H$42)/$B23</f>
        <v>33.39518209</v>
      </c>
      <c r="E47" s="302">
        <f t="shared" si="9"/>
        <v>7.854517766</v>
      </c>
      <c r="F47" s="302">
        <f t="shared" si="9"/>
        <v>1.136429442</v>
      </c>
      <c r="G47" s="302">
        <f t="shared" si="9"/>
        <v>0.0331600423</v>
      </c>
      <c r="H47" s="302">
        <f t="shared" si="10"/>
        <v>0</v>
      </c>
      <c r="I47" s="282"/>
      <c r="J47" s="282"/>
      <c r="K47" s="282"/>
      <c r="L47" s="282"/>
      <c r="M47" s="282"/>
      <c r="N47" s="282"/>
      <c r="O47" s="282"/>
      <c r="P47" s="282"/>
      <c r="Q47" s="282"/>
      <c r="R47" s="282"/>
    </row>
    <row r="48">
      <c r="A48" s="301" t="s">
        <v>2172</v>
      </c>
      <c r="B48" s="302">
        <f t="shared" si="7"/>
        <v>380.25</v>
      </c>
      <c r="C48" s="302">
        <f t="shared" si="8"/>
        <v>1.225</v>
      </c>
      <c r="D48" s="302">
        <f t="shared" ref="D48:G48" si="11">(N24+$E24*H$34+$F24*H$35+$G24*H$36+$H24*H$37+$I24*H$38+$J24*H$39+$K24*H$40+$L24*H$41+$M24*H$42)/$B24</f>
        <v>28.18725</v>
      </c>
      <c r="E48" s="302">
        <f t="shared" si="11"/>
        <v>4.8</v>
      </c>
      <c r="F48" s="302">
        <f t="shared" si="11"/>
        <v>0.2475</v>
      </c>
      <c r="G48" s="302">
        <f t="shared" si="11"/>
        <v>0.00525</v>
      </c>
      <c r="H48" s="302">
        <f t="shared" si="10"/>
        <v>0</v>
      </c>
      <c r="I48" s="282"/>
      <c r="J48" s="282"/>
      <c r="K48" s="282"/>
      <c r="L48" s="282"/>
      <c r="M48" s="282"/>
      <c r="N48" s="282"/>
      <c r="O48" s="282"/>
      <c r="P48" s="282"/>
      <c r="Q48" s="282"/>
      <c r="R48" s="282"/>
    </row>
    <row r="49">
      <c r="A49" s="304" t="s">
        <v>2173</v>
      </c>
      <c r="B49" s="302">
        <f t="shared" si="7"/>
        <v>0</v>
      </c>
      <c r="C49" s="302">
        <f t="shared" si="8"/>
        <v>0</v>
      </c>
      <c r="D49" s="302">
        <f t="shared" ref="D49:G49" si="12">(N25+$E25*H$34+$F25*H$35+$G25*H$36+$H25*H$37+$I25*H$38+$J25*H$39+$K25*H$40+$L25*H$41+$M25*H$42)/$B25</f>
        <v>57.14285714</v>
      </c>
      <c r="E49" s="302">
        <f t="shared" si="12"/>
        <v>5.714285714</v>
      </c>
      <c r="F49" s="302">
        <f t="shared" si="12"/>
        <v>0.5714285714</v>
      </c>
      <c r="G49" s="302">
        <f t="shared" si="12"/>
        <v>0</v>
      </c>
      <c r="H49" s="302">
        <f t="shared" si="10"/>
        <v>0</v>
      </c>
      <c r="I49" s="282"/>
      <c r="J49" s="282"/>
      <c r="K49" s="282"/>
      <c r="L49" s="282"/>
      <c r="M49" s="282"/>
      <c r="N49" s="282"/>
      <c r="O49" s="282"/>
      <c r="P49" s="282"/>
      <c r="Q49" s="282"/>
      <c r="R49" s="282"/>
    </row>
    <row r="50">
      <c r="A50" s="304" t="s">
        <v>2174</v>
      </c>
      <c r="B50" s="302">
        <f t="shared" si="7"/>
        <v>1339.209446</v>
      </c>
      <c r="C50" s="302">
        <f t="shared" si="8"/>
        <v>2.417864476</v>
      </c>
      <c r="D50" s="302">
        <f t="shared" ref="D50:G50" si="13">(N26+$E26*H$34+$F26*H$35+$G26*H$36+$H26*H$37+$I26*H$38+$J26*H$39+$K26*H$40+$L26*H$41+$M26*H$42)/$B26</f>
        <v>63.26870739</v>
      </c>
      <c r="E50" s="302">
        <f t="shared" si="13"/>
        <v>12.79568789</v>
      </c>
      <c r="F50" s="302">
        <f t="shared" si="13"/>
        <v>1.510585216</v>
      </c>
      <c r="G50" s="302">
        <f t="shared" si="13"/>
        <v>0.08621047228</v>
      </c>
      <c r="H50" s="302">
        <f t="shared" si="10"/>
        <v>0</v>
      </c>
      <c r="I50" s="282"/>
      <c r="J50" s="282"/>
      <c r="K50" s="282"/>
      <c r="L50" s="282"/>
      <c r="M50" s="282"/>
      <c r="N50" s="282"/>
      <c r="O50" s="282"/>
      <c r="P50" s="282"/>
      <c r="Q50" s="282"/>
      <c r="R50" s="282"/>
    </row>
    <row r="51">
      <c r="A51" s="301" t="s">
        <v>2175</v>
      </c>
      <c r="B51" s="302">
        <f t="shared" si="7"/>
        <v>72.775</v>
      </c>
      <c r="C51" s="302">
        <f t="shared" si="8"/>
        <v>1</v>
      </c>
      <c r="D51" s="302">
        <f t="shared" ref="D51:G51" si="14">(N27+$E27*H$34+$F27*H$35+$G27*H$36+$H27*H$37+$I27*H$38+$J27*H$39+$K27*H$40+$L27*H$41+$M27*H$42)/$B27</f>
        <v>3.484464889</v>
      </c>
      <c r="E51" s="302">
        <f t="shared" si="14"/>
        <v>0.4961111111</v>
      </c>
      <c r="F51" s="302">
        <f t="shared" si="14"/>
        <v>0.1519771429</v>
      </c>
      <c r="G51" s="302">
        <f t="shared" si="14"/>
        <v>0.000304</v>
      </c>
      <c r="H51" s="302">
        <f t="shared" si="10"/>
        <v>0</v>
      </c>
      <c r="I51" s="282"/>
      <c r="J51" s="282"/>
      <c r="K51" s="282"/>
      <c r="L51" s="282"/>
      <c r="M51" s="282"/>
      <c r="N51" s="282"/>
      <c r="O51" s="282"/>
      <c r="P51" s="282"/>
      <c r="Q51" s="282"/>
      <c r="R51" s="282"/>
    </row>
    <row r="52">
      <c r="A52" s="304" t="s">
        <v>2176</v>
      </c>
      <c r="B52" s="302">
        <f t="shared" si="7"/>
        <v>1631.264168</v>
      </c>
      <c r="C52" s="302">
        <f t="shared" si="8"/>
        <v>1.09375</v>
      </c>
      <c r="D52" s="302">
        <f t="shared" ref="D52:G52" si="15">(N28+$E28*H$34+$F28*H$35+$G28*H$36+$H28*H$37+$I28*H$38+$J28*H$39+$K28*H$40+$L28*H$41+$M28*H$42)/$B28</f>
        <v>34.01642964</v>
      </c>
      <c r="E52" s="302">
        <f t="shared" si="15"/>
        <v>8.794845257</v>
      </c>
      <c r="F52" s="302">
        <f t="shared" si="15"/>
        <v>1.099355657</v>
      </c>
      <c r="G52" s="302">
        <f t="shared" si="15"/>
        <v>0.06359573333</v>
      </c>
      <c r="H52" s="302">
        <f t="shared" si="10"/>
        <v>0</v>
      </c>
      <c r="I52" s="282"/>
      <c r="J52" s="282"/>
      <c r="K52" s="282"/>
      <c r="L52" s="282"/>
      <c r="M52" s="282"/>
      <c r="N52" s="282"/>
      <c r="O52" s="282"/>
      <c r="P52" s="282"/>
      <c r="Q52" s="282"/>
      <c r="R52" s="282"/>
    </row>
    <row r="53">
      <c r="A53" s="301" t="s">
        <v>1957</v>
      </c>
      <c r="B53" s="302">
        <f t="shared" si="7"/>
        <v>640</v>
      </c>
      <c r="C53" s="302">
        <f t="shared" si="8"/>
        <v>0</v>
      </c>
      <c r="D53" s="302">
        <f t="shared" ref="D53:G53" si="16">(N29+$E29*H$34+$F29*H$35+$G29*H$36+$H29*H$37+$I29*H$38+$J29*H$39+$K29*H$40+$L29*H$41+$M29*H$42)/$B29</f>
        <v>0</v>
      </c>
      <c r="E53" s="302">
        <f t="shared" si="16"/>
        <v>0</v>
      </c>
      <c r="F53" s="302">
        <f t="shared" si="16"/>
        <v>0</v>
      </c>
      <c r="G53" s="302">
        <f t="shared" si="16"/>
        <v>0</v>
      </c>
      <c r="H53" s="302">
        <f t="shared" si="10"/>
        <v>0</v>
      </c>
      <c r="I53" s="282"/>
      <c r="J53" s="282"/>
      <c r="K53" s="282"/>
      <c r="L53" s="282"/>
      <c r="M53" s="282"/>
      <c r="N53" s="282"/>
      <c r="O53" s="282"/>
      <c r="P53" s="282"/>
      <c r="Q53" s="282"/>
      <c r="R53" s="282"/>
    </row>
    <row r="54">
      <c r="A54" s="304" t="s">
        <v>2177</v>
      </c>
      <c r="B54" s="302">
        <f t="shared" si="7"/>
        <v>857.1428571</v>
      </c>
      <c r="C54" s="302">
        <f t="shared" si="8"/>
        <v>0</v>
      </c>
      <c r="D54" s="302">
        <f t="shared" ref="D54:G54" si="17">(N30+$E30*H$34+$F30*H$35+$G30*H$36+$H30*H$37+$I30*H$38+$J30*H$39+$K30*H$40+$L30*H$41+$M30*H$42)/$B30</f>
        <v>-57.14285714</v>
      </c>
      <c r="E54" s="302">
        <f t="shared" si="17"/>
        <v>-5.714285714</v>
      </c>
      <c r="F54" s="302">
        <f t="shared" si="17"/>
        <v>-0.5714285714</v>
      </c>
      <c r="G54" s="302">
        <f t="shared" si="17"/>
        <v>0</v>
      </c>
      <c r="H54" s="302">
        <f t="shared" si="10"/>
        <v>120</v>
      </c>
      <c r="I54" s="282"/>
      <c r="J54" s="282"/>
      <c r="K54" s="282"/>
      <c r="L54" s="282"/>
      <c r="M54" s="282"/>
      <c r="N54" s="282"/>
      <c r="O54" s="282"/>
      <c r="P54" s="282"/>
      <c r="Q54" s="282"/>
      <c r="R54" s="282"/>
    </row>
    <row r="55">
      <c r="A55" s="288" t="s">
        <v>2184</v>
      </c>
      <c r="B55" s="289">
        <f t="shared" ref="B55:H55" si="18">SUM(B46:B54)</f>
        <v>6922.555424</v>
      </c>
      <c r="C55" s="289">
        <f t="shared" si="18"/>
        <v>7.736614476</v>
      </c>
      <c r="D55" s="289">
        <f t="shared" si="18"/>
        <v>282.6416878</v>
      </c>
      <c r="E55" s="289">
        <f t="shared" si="18"/>
        <v>60.13587738</v>
      </c>
      <c r="F55" s="289">
        <f t="shared" si="18"/>
        <v>5.720183765</v>
      </c>
      <c r="G55" s="289">
        <f t="shared" si="18"/>
        <v>0.2359586103</v>
      </c>
      <c r="H55" s="289">
        <f t="shared" si="18"/>
        <v>120</v>
      </c>
      <c r="I55" s="282"/>
      <c r="J55" s="282"/>
      <c r="K55" s="282"/>
      <c r="L55" s="282"/>
      <c r="M55" s="282"/>
      <c r="N55" s="282"/>
      <c r="O55" s="282"/>
      <c r="P55" s="282"/>
      <c r="Q55" s="282"/>
      <c r="R55" s="282"/>
    </row>
    <row r="56">
      <c r="A56" s="282"/>
      <c r="B56" s="282"/>
      <c r="C56" s="282"/>
      <c r="D56" s="282"/>
      <c r="E56" s="282"/>
      <c r="F56" s="282"/>
      <c r="G56" s="282"/>
      <c r="H56" s="282"/>
      <c r="I56" s="282"/>
      <c r="J56" s="282"/>
      <c r="K56" s="282"/>
      <c r="L56" s="282"/>
      <c r="M56" s="282"/>
      <c r="N56" s="282"/>
      <c r="O56" s="282"/>
      <c r="P56" s="282"/>
      <c r="Q56" s="282"/>
      <c r="R56" s="28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75"/>
  <cols>
    <col customWidth="1" min="1" max="1" width="16.0"/>
    <col customWidth="1" min="2" max="2" width="9.57"/>
    <col customWidth="1" min="3" max="3" width="7.57"/>
    <col customWidth="1" min="4" max="4" width="10.29"/>
    <col customWidth="1" min="5" max="5" width="5.71"/>
    <col customWidth="1" min="6" max="6" width="8.43"/>
    <col customWidth="1" min="7" max="7" width="12.71"/>
    <col customWidth="1" min="8" max="8" width="14.71"/>
    <col customWidth="1" min="9" max="9" width="15.14"/>
    <col customWidth="1" min="10" max="10" width="13.43"/>
    <col customWidth="1" min="11" max="11" width="13.86"/>
    <col customWidth="1" min="12" max="12" width="13.71"/>
    <col customWidth="1" min="13" max="13" width="20.43"/>
    <col customWidth="1" min="14" max="14" width="27.71"/>
    <col customWidth="1" min="15" max="15" width="26.86"/>
    <col customWidth="1" min="16" max="16" width="17.71"/>
    <col customWidth="1" min="17" max="17" width="18.57"/>
    <col customWidth="1" min="18" max="18" width="19.86"/>
    <col customWidth="1" min="19" max="19" width="23.86"/>
    <col customWidth="1" min="20" max="20" width="9.0"/>
    <col customWidth="1" min="21" max="21" width="15.29"/>
    <col customWidth="1" min="22" max="22" width="11.43"/>
    <col customWidth="1" min="23" max="23" width="16.71"/>
    <col customWidth="1" min="24" max="24" width="20.14"/>
    <col customWidth="1" min="25" max="25" width="11.86"/>
    <col customWidth="1" min="26" max="26" width="12.29"/>
    <col customWidth="1" min="27" max="27" width="20.29"/>
    <col customWidth="1" min="28" max="28" width="16.0"/>
    <col customWidth="1" min="29" max="29" width="13.14"/>
    <col customWidth="1" min="30" max="30" width="17.0"/>
    <col customWidth="1" min="31" max="31" width="9.57"/>
    <col customWidth="1" min="32" max="32" width="11.71"/>
    <col customWidth="1" min="33" max="33" width="9.14"/>
    <col customWidth="1" min="34" max="34" width="6.14"/>
    <col customWidth="1" min="35" max="35" width="13.86"/>
    <col customWidth="1" min="36" max="36" width="15.71"/>
    <col customWidth="1" min="37" max="37" width="12.14"/>
    <col customWidth="1" min="38" max="38" width="10.57"/>
    <col customWidth="1" min="39" max="39" width="6.29"/>
    <col customWidth="1" min="40" max="40" width="20.71"/>
    <col customWidth="1" min="41" max="41" width="16.43"/>
    <col customWidth="1" min="42" max="42" width="21.71"/>
    <col customWidth="1" min="43" max="43" width="22.29"/>
    <col customWidth="1" min="44" max="44" width="8.57"/>
    <col customWidth="1" min="45" max="45" width="13.29"/>
    <col customWidth="1" min="46" max="46" width="15.0"/>
    <col customWidth="1" min="47" max="47" width="18.43"/>
    <col customWidth="1" min="48" max="48" width="14.43"/>
    <col customWidth="1" min="49" max="49" width="14.86"/>
    <col customWidth="1" min="50" max="50" width="6.14"/>
    <col customWidth="1" min="51" max="51" width="17.0"/>
    <col customWidth="1" min="52" max="52" width="21.71"/>
    <col customWidth="1" min="53" max="53" width="17.29"/>
    <col customWidth="1" min="54" max="54" width="17.57"/>
    <col customWidth="1" min="55" max="55" width="22.57"/>
    <col customWidth="1" min="56" max="56" width="20.43"/>
    <col customWidth="1" min="57" max="57" width="16.0"/>
    <col customWidth="1" min="58" max="58" width="16.29"/>
    <col customWidth="1" min="59" max="59" width="21.29"/>
    <col customWidth="1" min="60" max="60" width="14.71"/>
    <col customWidth="1" min="61" max="61" width="20.86"/>
    <col customWidth="1" min="62" max="62" width="7.14"/>
  </cols>
  <sheetData>
    <row r="1">
      <c r="A1" s="7" t="s">
        <v>18</v>
      </c>
      <c r="B1" s="7"/>
      <c r="C1" s="7"/>
      <c r="D1" s="7"/>
      <c r="E1" s="7"/>
      <c r="H1" s="7"/>
      <c r="I1" s="9"/>
      <c r="J1" s="9"/>
      <c r="K1" s="9"/>
      <c r="L1" s="9"/>
      <c r="M1" s="9"/>
      <c r="N1" s="9"/>
      <c r="O1" s="9"/>
      <c r="P1" s="9"/>
      <c r="S1" s="9"/>
      <c r="U1" s="9"/>
      <c r="V1" s="9"/>
      <c r="W1" s="9"/>
      <c r="X1" s="9"/>
      <c r="Y1" s="9"/>
      <c r="Z1" s="9"/>
      <c r="AA1" s="9"/>
      <c r="AB1" s="9"/>
      <c r="AC1" s="9"/>
      <c r="AD1" s="9"/>
      <c r="AE1" s="9"/>
      <c r="AF1" s="9"/>
      <c r="AG1" s="9"/>
      <c r="AH1" s="9"/>
      <c r="AI1" s="9"/>
      <c r="AJ1" s="9"/>
      <c r="AK1" s="9"/>
      <c r="AL1" s="9"/>
      <c r="AM1" s="9"/>
      <c r="AN1" s="10"/>
      <c r="AO1" s="9"/>
      <c r="AP1" s="9"/>
      <c r="AQ1" s="10"/>
      <c r="AR1" s="9"/>
      <c r="AS1" s="9"/>
      <c r="AT1" s="9"/>
      <c r="AU1" s="9"/>
      <c r="AV1" s="9"/>
      <c r="AW1" s="9"/>
      <c r="AX1" s="9"/>
      <c r="AY1" s="9"/>
      <c r="AZ1" s="10"/>
      <c r="BA1" s="10"/>
      <c r="BB1" s="10"/>
      <c r="BC1" s="10"/>
      <c r="BD1" s="10"/>
      <c r="BE1" s="10"/>
      <c r="BF1" s="10"/>
      <c r="BG1" s="10"/>
      <c r="BH1" s="10"/>
      <c r="BI1" s="10"/>
      <c r="BJ1" s="9"/>
      <c r="BK1" s="10"/>
    </row>
    <row r="2">
      <c r="A2" s="11" t="s">
        <v>19</v>
      </c>
      <c r="B2" s="11" t="s">
        <v>20</v>
      </c>
      <c r="C2" s="11" t="s">
        <v>21</v>
      </c>
      <c r="D2" s="11" t="s">
        <v>22</v>
      </c>
      <c r="E2" s="11" t="s">
        <v>23</v>
      </c>
      <c r="F2" s="11" t="s">
        <v>24</v>
      </c>
      <c r="G2" s="11" t="s">
        <v>25</v>
      </c>
      <c r="H2" s="11" t="s">
        <v>26</v>
      </c>
      <c r="I2" s="11" t="s">
        <v>27</v>
      </c>
      <c r="J2" s="11" t="s">
        <v>28</v>
      </c>
      <c r="K2" s="11" t="s">
        <v>29</v>
      </c>
      <c r="L2" s="11" t="s">
        <v>30</v>
      </c>
      <c r="M2" s="11" t="s">
        <v>31</v>
      </c>
      <c r="N2" s="11" t="s">
        <v>32</v>
      </c>
      <c r="O2" s="11" t="s">
        <v>33</v>
      </c>
      <c r="P2" s="11" t="s">
        <v>34</v>
      </c>
      <c r="Q2" s="11" t="s">
        <v>35</v>
      </c>
      <c r="R2" s="11" t="s">
        <v>36</v>
      </c>
      <c r="S2" s="11" t="s">
        <v>37</v>
      </c>
      <c r="T2" s="11" t="s">
        <v>38</v>
      </c>
      <c r="U2" s="11" t="s">
        <v>39</v>
      </c>
      <c r="V2" s="11" t="s">
        <v>40</v>
      </c>
      <c r="W2" s="11" t="s">
        <v>41</v>
      </c>
      <c r="X2" s="11" t="s">
        <v>42</v>
      </c>
      <c r="Y2" s="11" t="s">
        <v>43</v>
      </c>
      <c r="Z2" s="11" t="s">
        <v>44</v>
      </c>
      <c r="AA2" s="11" t="s">
        <v>45</v>
      </c>
      <c r="AB2" s="11" t="s">
        <v>46</v>
      </c>
      <c r="AC2" s="11" t="s">
        <v>47</v>
      </c>
      <c r="AD2" s="11" t="s">
        <v>48</v>
      </c>
      <c r="AE2" s="11" t="s">
        <v>49</v>
      </c>
      <c r="AF2" s="11" t="s">
        <v>50</v>
      </c>
      <c r="AG2" s="11" t="s">
        <v>51</v>
      </c>
      <c r="AH2" s="11" t="s">
        <v>52</v>
      </c>
      <c r="AI2" s="11" t="s">
        <v>53</v>
      </c>
      <c r="AJ2" s="11" t="s">
        <v>54</v>
      </c>
      <c r="AK2" s="11" t="s">
        <v>55</v>
      </c>
      <c r="AL2" s="11" t="s">
        <v>56</v>
      </c>
      <c r="AM2" s="11" t="s">
        <v>57</v>
      </c>
      <c r="AN2" s="11" t="s">
        <v>58</v>
      </c>
      <c r="AO2" s="11" t="s">
        <v>59</v>
      </c>
      <c r="AP2" s="11" t="s">
        <v>60</v>
      </c>
      <c r="AQ2" s="11" t="s">
        <v>61</v>
      </c>
      <c r="AR2" s="11" t="s">
        <v>62</v>
      </c>
      <c r="AS2" s="11" t="s">
        <v>63</v>
      </c>
      <c r="AT2" s="11" t="s">
        <v>64</v>
      </c>
      <c r="AU2" s="11" t="s">
        <v>65</v>
      </c>
      <c r="AV2" s="11" t="s">
        <v>66</v>
      </c>
      <c r="AW2" s="11" t="s">
        <v>67</v>
      </c>
      <c r="AX2" s="11" t="s">
        <v>68</v>
      </c>
      <c r="AY2" s="11" t="s">
        <v>69</v>
      </c>
      <c r="AZ2" s="11" t="s">
        <v>70</v>
      </c>
      <c r="BA2" s="11" t="s">
        <v>71</v>
      </c>
      <c r="BB2" s="11" t="s">
        <v>72</v>
      </c>
      <c r="BC2" s="11" t="s">
        <v>73</v>
      </c>
      <c r="BD2" s="11" t="s">
        <v>74</v>
      </c>
      <c r="BE2" s="11" t="s">
        <v>75</v>
      </c>
      <c r="BF2" s="11" t="s">
        <v>76</v>
      </c>
      <c r="BG2" s="11" t="s">
        <v>77</v>
      </c>
      <c r="BH2" s="11" t="s">
        <v>78</v>
      </c>
      <c r="BI2" s="11" t="s">
        <v>79</v>
      </c>
      <c r="BJ2" s="11" t="s">
        <v>80</v>
      </c>
      <c r="BK2" s="10"/>
    </row>
    <row r="3">
      <c r="A3" s="12" t="s">
        <v>81</v>
      </c>
      <c r="B3" s="13" t="s">
        <v>81</v>
      </c>
      <c r="C3" s="14"/>
      <c r="D3" s="14"/>
      <c r="E3" s="15"/>
      <c r="F3" s="13"/>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5"/>
      <c r="BK3" s="10"/>
    </row>
    <row r="4">
      <c r="A4" s="16" t="s">
        <v>82</v>
      </c>
      <c r="B4" s="17" t="s">
        <v>83</v>
      </c>
      <c r="C4" s="16" t="s">
        <v>84</v>
      </c>
      <c r="D4" s="16">
        <v>3.0</v>
      </c>
      <c r="E4" s="18">
        <v>1.0</v>
      </c>
      <c r="F4" s="16" t="s">
        <v>85</v>
      </c>
      <c r="G4" s="19">
        <v>144.0</v>
      </c>
      <c r="H4" s="16" t="s">
        <v>85</v>
      </c>
      <c r="I4" s="16" t="s">
        <v>85</v>
      </c>
      <c r="J4" s="16" t="s">
        <v>85</v>
      </c>
      <c r="K4" s="16" t="s">
        <v>85</v>
      </c>
      <c r="L4" s="16" t="s">
        <v>85</v>
      </c>
      <c r="M4" s="19">
        <v>45.0</v>
      </c>
      <c r="N4" s="16" t="s">
        <v>85</v>
      </c>
      <c r="O4" s="16" t="s">
        <v>85</v>
      </c>
      <c r="P4" s="16" t="s">
        <v>85</v>
      </c>
      <c r="Q4" s="16" t="s">
        <v>85</v>
      </c>
      <c r="R4" s="16" t="s">
        <v>85</v>
      </c>
      <c r="S4" s="16" t="s">
        <v>85</v>
      </c>
      <c r="T4" s="16" t="s">
        <v>85</v>
      </c>
      <c r="U4" s="16" t="s">
        <v>85</v>
      </c>
      <c r="V4" s="16" t="s">
        <v>85</v>
      </c>
      <c r="W4" s="16" t="s">
        <v>85</v>
      </c>
      <c r="X4" s="16" t="s">
        <v>85</v>
      </c>
      <c r="Y4" s="16" t="s">
        <v>85</v>
      </c>
      <c r="Z4" s="16" t="s">
        <v>85</v>
      </c>
      <c r="AA4" s="16" t="s">
        <v>85</v>
      </c>
      <c r="AB4" s="16" t="s">
        <v>85</v>
      </c>
      <c r="AC4" s="16" t="s">
        <v>85</v>
      </c>
      <c r="AD4" s="16" t="s">
        <v>85</v>
      </c>
      <c r="AE4" s="16" t="s">
        <v>85</v>
      </c>
      <c r="AF4" s="16" t="s">
        <v>85</v>
      </c>
      <c r="AG4" s="16" t="s">
        <v>85</v>
      </c>
      <c r="AH4" s="16" t="s">
        <v>85</v>
      </c>
      <c r="AI4" s="16" t="s">
        <v>85</v>
      </c>
      <c r="AJ4" s="16" t="s">
        <v>85</v>
      </c>
      <c r="AK4" s="16" t="s">
        <v>85</v>
      </c>
      <c r="AL4" s="16" t="s">
        <v>85</v>
      </c>
      <c r="AM4" s="16" t="s">
        <v>85</v>
      </c>
      <c r="AN4" s="16" t="s">
        <v>85</v>
      </c>
      <c r="AO4" s="16" t="s">
        <v>85</v>
      </c>
      <c r="AP4" s="16" t="s">
        <v>85</v>
      </c>
      <c r="AQ4" s="16" t="s">
        <v>85</v>
      </c>
      <c r="AR4" s="16" t="s">
        <v>85</v>
      </c>
      <c r="AS4" s="16" t="s">
        <v>85</v>
      </c>
      <c r="AT4" s="16" t="s">
        <v>85</v>
      </c>
      <c r="AU4" s="16" t="s">
        <v>85</v>
      </c>
      <c r="AV4" s="16" t="s">
        <v>85</v>
      </c>
      <c r="AW4" s="16" t="s">
        <v>85</v>
      </c>
      <c r="AX4" s="16" t="s">
        <v>85</v>
      </c>
      <c r="AY4" s="16" t="s">
        <v>85</v>
      </c>
      <c r="AZ4" s="16" t="s">
        <v>85</v>
      </c>
      <c r="BA4" s="16" t="s">
        <v>85</v>
      </c>
      <c r="BB4" s="16" t="s">
        <v>85</v>
      </c>
      <c r="BC4" s="16" t="s">
        <v>85</v>
      </c>
      <c r="BD4" s="16" t="s">
        <v>85</v>
      </c>
      <c r="BE4" s="16" t="s">
        <v>85</v>
      </c>
      <c r="BF4" s="16" t="s">
        <v>85</v>
      </c>
      <c r="BG4" s="16" t="s">
        <v>85</v>
      </c>
      <c r="BH4" s="16" t="s">
        <v>85</v>
      </c>
      <c r="BI4" s="16" t="s">
        <v>85</v>
      </c>
      <c r="BJ4" s="16">
        <v>4.0</v>
      </c>
      <c r="BK4" s="20"/>
    </row>
    <row r="5">
      <c r="A5" s="21"/>
      <c r="B5" s="21"/>
      <c r="C5" s="21"/>
      <c r="D5" s="21"/>
      <c r="E5" s="18">
        <v>2.0</v>
      </c>
      <c r="F5" s="21"/>
      <c r="G5" s="19">
        <v>156.0</v>
      </c>
      <c r="H5" s="21"/>
      <c r="I5" s="21"/>
      <c r="J5" s="21"/>
      <c r="K5" s="21"/>
      <c r="L5" s="21"/>
      <c r="M5" s="19">
        <v>48.0</v>
      </c>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0"/>
    </row>
    <row r="6">
      <c r="A6" s="21"/>
      <c r="B6" s="21"/>
      <c r="C6" s="21"/>
      <c r="D6" s="21"/>
      <c r="E6" s="18">
        <v>3.0</v>
      </c>
      <c r="F6" s="21"/>
      <c r="G6" s="19">
        <v>174.0</v>
      </c>
      <c r="H6" s="21"/>
      <c r="I6" s="21"/>
      <c r="J6" s="21"/>
      <c r="K6" s="21"/>
      <c r="L6" s="21"/>
      <c r="M6" s="19">
        <v>54.0</v>
      </c>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0"/>
    </row>
    <row r="7">
      <c r="A7" s="21"/>
      <c r="B7" s="21"/>
      <c r="C7" s="21"/>
      <c r="D7" s="21"/>
      <c r="E7" s="18">
        <v>4.0</v>
      </c>
      <c r="F7" s="21"/>
      <c r="G7" s="19">
        <v>189.0</v>
      </c>
      <c r="H7" s="21"/>
      <c r="I7" s="21"/>
      <c r="J7" s="21"/>
      <c r="K7" s="21"/>
      <c r="L7" s="21"/>
      <c r="M7" s="19">
        <v>57.0</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0"/>
    </row>
    <row r="8">
      <c r="A8" s="21"/>
      <c r="B8" s="21"/>
      <c r="C8" s="21"/>
      <c r="D8" s="21"/>
      <c r="E8" s="18">
        <v>5.0</v>
      </c>
      <c r="F8" s="21"/>
      <c r="G8" s="19">
        <v>210.0</v>
      </c>
      <c r="H8" s="21"/>
      <c r="I8" s="21"/>
      <c r="J8" s="21"/>
      <c r="K8" s="21"/>
      <c r="L8" s="21"/>
      <c r="M8" s="19">
        <v>63.0</v>
      </c>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0"/>
    </row>
    <row r="9">
      <c r="A9" s="21"/>
      <c r="B9" s="21"/>
      <c r="C9" s="21"/>
      <c r="D9" s="21"/>
      <c r="E9" s="18">
        <v>6.0</v>
      </c>
      <c r="F9" s="21"/>
      <c r="G9" s="19">
        <v>228.0</v>
      </c>
      <c r="H9" s="21"/>
      <c r="I9" s="21"/>
      <c r="J9" s="21"/>
      <c r="K9" s="21"/>
      <c r="L9" s="21"/>
      <c r="M9" s="19">
        <v>69.0</v>
      </c>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0"/>
    </row>
    <row r="10">
      <c r="A10" s="21"/>
      <c r="B10" s="21"/>
      <c r="C10" s="21"/>
      <c r="D10" s="21"/>
      <c r="E10" s="18">
        <v>7.0</v>
      </c>
      <c r="F10" s="21"/>
      <c r="G10" s="19">
        <v>252.0</v>
      </c>
      <c r="H10" s="21"/>
      <c r="I10" s="21"/>
      <c r="J10" s="21"/>
      <c r="K10" s="21"/>
      <c r="L10" s="21"/>
      <c r="M10" s="19">
        <v>78.0</v>
      </c>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0"/>
    </row>
    <row r="11">
      <c r="A11" s="21"/>
      <c r="B11" s="21"/>
      <c r="C11" s="21"/>
      <c r="D11" s="21"/>
      <c r="E11" s="18">
        <v>8.0</v>
      </c>
      <c r="F11" s="21"/>
      <c r="G11" s="19">
        <v>276.0</v>
      </c>
      <c r="H11" s="21"/>
      <c r="I11" s="21"/>
      <c r="J11" s="21"/>
      <c r="K11" s="21"/>
      <c r="L11" s="21"/>
      <c r="M11" s="19">
        <v>84.0</v>
      </c>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0"/>
    </row>
    <row r="12">
      <c r="A12" s="21"/>
      <c r="B12" s="21"/>
      <c r="C12" s="21"/>
      <c r="D12" s="21"/>
      <c r="E12" s="18">
        <v>9.0</v>
      </c>
      <c r="F12" s="21"/>
      <c r="G12" s="19">
        <v>303.0</v>
      </c>
      <c r="H12" s="21"/>
      <c r="I12" s="21"/>
      <c r="J12" s="21"/>
      <c r="K12" s="21"/>
      <c r="L12" s="21"/>
      <c r="M12" s="19">
        <v>93.0</v>
      </c>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0"/>
    </row>
    <row r="13">
      <c r="A13" s="21"/>
      <c r="B13" s="21"/>
      <c r="C13" s="21"/>
      <c r="D13" s="21"/>
      <c r="E13" s="18">
        <v>10.0</v>
      </c>
      <c r="F13" s="21"/>
      <c r="G13" s="19">
        <v>333.0</v>
      </c>
      <c r="H13" s="21"/>
      <c r="I13" s="21"/>
      <c r="J13" s="21"/>
      <c r="K13" s="21"/>
      <c r="L13" s="21"/>
      <c r="M13" s="19">
        <v>102.0</v>
      </c>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0"/>
    </row>
    <row r="14">
      <c r="A14" s="21"/>
      <c r="B14" s="21"/>
      <c r="C14" s="21"/>
      <c r="D14" s="21"/>
      <c r="E14" s="18">
        <v>11.0</v>
      </c>
      <c r="F14" s="21"/>
      <c r="G14" s="19">
        <v>366.0</v>
      </c>
      <c r="H14" s="21"/>
      <c r="I14" s="21"/>
      <c r="J14" s="21"/>
      <c r="K14" s="21"/>
      <c r="L14" s="21"/>
      <c r="M14" s="19">
        <v>111.0</v>
      </c>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0"/>
    </row>
    <row r="15">
      <c r="A15" s="21"/>
      <c r="B15" s="21"/>
      <c r="C15" s="21"/>
      <c r="D15" s="21"/>
      <c r="E15" s="18">
        <v>12.0</v>
      </c>
      <c r="F15" s="21"/>
      <c r="G15" s="19">
        <v>402.0</v>
      </c>
      <c r="H15" s="21"/>
      <c r="I15" s="21"/>
      <c r="J15" s="21"/>
      <c r="K15" s="21"/>
      <c r="L15" s="21"/>
      <c r="M15" s="19">
        <v>123.0</v>
      </c>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0"/>
    </row>
    <row r="16">
      <c r="A16" s="22"/>
      <c r="B16" s="22"/>
      <c r="C16" s="22"/>
      <c r="D16" s="22"/>
      <c r="E16" s="18">
        <v>13.0</v>
      </c>
      <c r="F16" s="22"/>
      <c r="G16" s="19">
        <v>444.0</v>
      </c>
      <c r="H16" s="22"/>
      <c r="I16" s="22"/>
      <c r="J16" s="22"/>
      <c r="K16" s="22"/>
      <c r="L16" s="22"/>
      <c r="M16" s="19">
        <v>135.0</v>
      </c>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0"/>
    </row>
    <row r="17">
      <c r="A17" s="16" t="s">
        <v>86</v>
      </c>
      <c r="B17" s="17" t="s">
        <v>83</v>
      </c>
      <c r="C17" s="16" t="s">
        <v>87</v>
      </c>
      <c r="D17" s="16">
        <v>3.0</v>
      </c>
      <c r="E17" s="18">
        <v>1.0</v>
      </c>
      <c r="F17" s="18">
        <v>40.0</v>
      </c>
      <c r="G17" s="16" t="s">
        <v>85</v>
      </c>
      <c r="H17" s="16" t="s">
        <v>85</v>
      </c>
      <c r="I17" s="16" t="s">
        <v>85</v>
      </c>
      <c r="J17" s="16" t="s">
        <v>85</v>
      </c>
      <c r="K17" s="16" t="s">
        <v>85</v>
      </c>
      <c r="L17" s="16" t="s">
        <v>85</v>
      </c>
      <c r="M17" s="16" t="s">
        <v>85</v>
      </c>
      <c r="N17" s="16" t="s">
        <v>85</v>
      </c>
      <c r="O17" s="16" t="s">
        <v>85</v>
      </c>
      <c r="P17" s="16" t="s">
        <v>85</v>
      </c>
      <c r="Q17" s="18">
        <v>40.0</v>
      </c>
      <c r="R17" s="16" t="s">
        <v>85</v>
      </c>
      <c r="S17" s="16" t="s">
        <v>85</v>
      </c>
      <c r="T17" s="18">
        <v>90.0</v>
      </c>
      <c r="U17" s="16" t="s">
        <v>85</v>
      </c>
      <c r="V17" s="16" t="s">
        <v>85</v>
      </c>
      <c r="W17" s="16" t="s">
        <v>85</v>
      </c>
      <c r="X17" s="16" t="s">
        <v>85</v>
      </c>
      <c r="Y17" s="16" t="s">
        <v>85</v>
      </c>
      <c r="Z17" s="16" t="s">
        <v>85</v>
      </c>
      <c r="AA17" s="23" t="s">
        <v>85</v>
      </c>
      <c r="AB17" s="23" t="s">
        <v>85</v>
      </c>
      <c r="AC17" s="16" t="s">
        <v>85</v>
      </c>
      <c r="AD17" s="16" t="s">
        <v>85</v>
      </c>
      <c r="AE17" s="16" t="s">
        <v>88</v>
      </c>
      <c r="AF17" s="16" t="s">
        <v>89</v>
      </c>
      <c r="AG17" s="16" t="s">
        <v>90</v>
      </c>
      <c r="AH17" s="16" t="s">
        <v>85</v>
      </c>
      <c r="AI17" s="16" t="s">
        <v>91</v>
      </c>
      <c r="AJ17" s="16" t="s">
        <v>85</v>
      </c>
      <c r="AK17" s="16" t="s">
        <v>85</v>
      </c>
      <c r="AL17" s="16" t="s">
        <v>85</v>
      </c>
      <c r="AM17" s="16" t="s">
        <v>92</v>
      </c>
      <c r="AN17" s="16" t="s">
        <v>85</v>
      </c>
      <c r="AO17" s="16" t="s">
        <v>85</v>
      </c>
      <c r="AP17" s="16" t="s">
        <v>85</v>
      </c>
      <c r="AQ17" s="16" t="s">
        <v>85</v>
      </c>
      <c r="AR17" s="16" t="s">
        <v>85</v>
      </c>
      <c r="AS17" s="16" t="s">
        <v>85</v>
      </c>
      <c r="AT17" s="16" t="s">
        <v>85</v>
      </c>
      <c r="AU17" s="16" t="s">
        <v>85</v>
      </c>
      <c r="AV17" s="16" t="s">
        <v>85</v>
      </c>
      <c r="AW17" s="16" t="s">
        <v>85</v>
      </c>
      <c r="AX17" s="16" t="s">
        <v>85</v>
      </c>
      <c r="AY17" s="16" t="s">
        <v>85</v>
      </c>
      <c r="AZ17" s="16" t="s">
        <v>85</v>
      </c>
      <c r="BA17" s="16" t="s">
        <v>85</v>
      </c>
      <c r="BB17" s="16" t="s">
        <v>85</v>
      </c>
      <c r="BC17" s="16" t="s">
        <v>85</v>
      </c>
      <c r="BD17" s="16" t="s">
        <v>85</v>
      </c>
      <c r="BE17" s="16" t="s">
        <v>85</v>
      </c>
      <c r="BF17" s="16" t="s">
        <v>85</v>
      </c>
      <c r="BG17" s="16" t="s">
        <v>85</v>
      </c>
      <c r="BH17" s="16" t="s">
        <v>85</v>
      </c>
      <c r="BI17" s="16" t="s">
        <v>85</v>
      </c>
      <c r="BJ17" s="16" t="s">
        <v>85</v>
      </c>
      <c r="BK17" s="24"/>
    </row>
    <row r="18">
      <c r="A18" s="21"/>
      <c r="B18" s="21"/>
      <c r="C18" s="21"/>
      <c r="D18" s="21"/>
      <c r="E18" s="18">
        <v>2.0</v>
      </c>
      <c r="F18" s="18">
        <v>44.0</v>
      </c>
      <c r="G18" s="21"/>
      <c r="H18" s="21"/>
      <c r="I18" s="21"/>
      <c r="J18" s="21"/>
      <c r="K18" s="21"/>
      <c r="L18" s="21"/>
      <c r="M18" s="21"/>
      <c r="N18" s="21"/>
      <c r="O18" s="21"/>
      <c r="P18" s="21"/>
      <c r="Q18" s="18">
        <v>44.0</v>
      </c>
      <c r="R18" s="21"/>
      <c r="S18" s="21"/>
      <c r="T18" s="18">
        <v>99.0</v>
      </c>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4"/>
    </row>
    <row r="19">
      <c r="A19" s="21"/>
      <c r="B19" s="21"/>
      <c r="C19" s="21"/>
      <c r="D19" s="21"/>
      <c r="E19" s="18">
        <v>3.0</v>
      </c>
      <c r="F19" s="18">
        <v>48.0</v>
      </c>
      <c r="G19" s="21"/>
      <c r="H19" s="21"/>
      <c r="I19" s="21"/>
      <c r="J19" s="21"/>
      <c r="K19" s="21"/>
      <c r="L19" s="21"/>
      <c r="M19" s="21"/>
      <c r="N19" s="21"/>
      <c r="O19" s="21"/>
      <c r="P19" s="21"/>
      <c r="Q19" s="18">
        <v>48.0</v>
      </c>
      <c r="R19" s="21"/>
      <c r="S19" s="21"/>
      <c r="T19" s="18">
        <v>108.0</v>
      </c>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4"/>
    </row>
    <row r="20">
      <c r="A20" s="21"/>
      <c r="B20" s="21"/>
      <c r="C20" s="21"/>
      <c r="D20" s="21"/>
      <c r="E20" s="18">
        <v>4.0</v>
      </c>
      <c r="F20" s="18">
        <v>53.0</v>
      </c>
      <c r="G20" s="21"/>
      <c r="H20" s="21"/>
      <c r="I20" s="21"/>
      <c r="J20" s="21"/>
      <c r="K20" s="21"/>
      <c r="L20" s="21"/>
      <c r="M20" s="21"/>
      <c r="N20" s="21"/>
      <c r="O20" s="21"/>
      <c r="P20" s="21"/>
      <c r="Q20" s="18">
        <v>53.0</v>
      </c>
      <c r="R20" s="21"/>
      <c r="S20" s="21"/>
      <c r="T20" s="18">
        <v>119.0</v>
      </c>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4"/>
    </row>
    <row r="21">
      <c r="A21" s="21"/>
      <c r="B21" s="21"/>
      <c r="C21" s="21"/>
      <c r="D21" s="21"/>
      <c r="E21" s="18">
        <v>5.0</v>
      </c>
      <c r="F21" s="18">
        <v>58.0</v>
      </c>
      <c r="G21" s="21"/>
      <c r="H21" s="21"/>
      <c r="I21" s="21"/>
      <c r="J21" s="21"/>
      <c r="K21" s="21"/>
      <c r="L21" s="21"/>
      <c r="M21" s="21"/>
      <c r="N21" s="21"/>
      <c r="O21" s="21"/>
      <c r="P21" s="21"/>
      <c r="Q21" s="18">
        <v>58.0</v>
      </c>
      <c r="R21" s="21"/>
      <c r="S21" s="21"/>
      <c r="T21" s="18">
        <v>131.0</v>
      </c>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4"/>
    </row>
    <row r="22">
      <c r="A22" s="21"/>
      <c r="B22" s="21"/>
      <c r="C22" s="21"/>
      <c r="D22" s="21"/>
      <c r="E22" s="18">
        <v>6.0</v>
      </c>
      <c r="F22" s="18">
        <v>64.0</v>
      </c>
      <c r="G22" s="21"/>
      <c r="H22" s="21"/>
      <c r="I22" s="21"/>
      <c r="J22" s="21"/>
      <c r="K22" s="21"/>
      <c r="L22" s="21"/>
      <c r="M22" s="21"/>
      <c r="N22" s="21"/>
      <c r="O22" s="21"/>
      <c r="P22" s="21"/>
      <c r="Q22" s="18">
        <v>64.0</v>
      </c>
      <c r="R22" s="21"/>
      <c r="S22" s="21"/>
      <c r="T22" s="18">
        <v>144.0</v>
      </c>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4"/>
    </row>
    <row r="23">
      <c r="A23" s="21"/>
      <c r="B23" s="21"/>
      <c r="C23" s="21"/>
      <c r="D23" s="21"/>
      <c r="E23" s="18">
        <v>7.0</v>
      </c>
      <c r="F23" s="18">
        <v>70.0</v>
      </c>
      <c r="G23" s="21"/>
      <c r="H23" s="21"/>
      <c r="I23" s="21"/>
      <c r="J23" s="21"/>
      <c r="K23" s="21"/>
      <c r="L23" s="21"/>
      <c r="M23" s="21"/>
      <c r="N23" s="21"/>
      <c r="O23" s="21"/>
      <c r="P23" s="21"/>
      <c r="Q23" s="18">
        <v>70.0</v>
      </c>
      <c r="R23" s="21"/>
      <c r="S23" s="21"/>
      <c r="T23" s="18">
        <v>158.0</v>
      </c>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4"/>
    </row>
    <row r="24">
      <c r="A24" s="21"/>
      <c r="B24" s="21"/>
      <c r="C24" s="21"/>
      <c r="D24" s="21"/>
      <c r="E24" s="18">
        <v>8.0</v>
      </c>
      <c r="F24" s="18">
        <v>77.0</v>
      </c>
      <c r="G24" s="21"/>
      <c r="H24" s="21"/>
      <c r="I24" s="21"/>
      <c r="J24" s="21"/>
      <c r="K24" s="21"/>
      <c r="L24" s="21"/>
      <c r="M24" s="21"/>
      <c r="N24" s="21"/>
      <c r="O24" s="21"/>
      <c r="P24" s="21"/>
      <c r="Q24" s="18">
        <v>77.0</v>
      </c>
      <c r="R24" s="21"/>
      <c r="S24" s="21"/>
      <c r="T24" s="18">
        <v>173.0</v>
      </c>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4"/>
    </row>
    <row r="25">
      <c r="A25" s="21"/>
      <c r="B25" s="21"/>
      <c r="C25" s="21"/>
      <c r="D25" s="21"/>
      <c r="E25" s="18">
        <v>9.0</v>
      </c>
      <c r="F25" s="18">
        <v>84.0</v>
      </c>
      <c r="G25" s="21"/>
      <c r="H25" s="21"/>
      <c r="I25" s="21"/>
      <c r="J25" s="21"/>
      <c r="K25" s="21"/>
      <c r="L25" s="21"/>
      <c r="M25" s="21"/>
      <c r="N25" s="21"/>
      <c r="O25" s="21"/>
      <c r="P25" s="21"/>
      <c r="Q25" s="18">
        <v>84.0</v>
      </c>
      <c r="R25" s="21"/>
      <c r="S25" s="21"/>
      <c r="T25" s="18">
        <v>190.0</v>
      </c>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4"/>
    </row>
    <row r="26">
      <c r="A26" s="21"/>
      <c r="B26" s="21"/>
      <c r="C26" s="21"/>
      <c r="D26" s="21"/>
      <c r="E26" s="18">
        <v>10.0</v>
      </c>
      <c r="F26" s="18">
        <v>93.0</v>
      </c>
      <c r="G26" s="21"/>
      <c r="H26" s="21"/>
      <c r="I26" s="21"/>
      <c r="J26" s="21"/>
      <c r="K26" s="21"/>
      <c r="L26" s="21"/>
      <c r="M26" s="21"/>
      <c r="N26" s="21"/>
      <c r="O26" s="21"/>
      <c r="P26" s="21"/>
      <c r="Q26" s="18">
        <v>93.0</v>
      </c>
      <c r="R26" s="21"/>
      <c r="S26" s="21"/>
      <c r="T26" s="18">
        <v>209.0</v>
      </c>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4"/>
    </row>
    <row r="27">
      <c r="A27" s="21"/>
      <c r="B27" s="21"/>
      <c r="C27" s="21"/>
      <c r="D27" s="21"/>
      <c r="E27" s="18">
        <v>11.0</v>
      </c>
      <c r="F27" s="18">
        <v>102.0</v>
      </c>
      <c r="G27" s="21"/>
      <c r="H27" s="21"/>
      <c r="I27" s="21"/>
      <c r="J27" s="21"/>
      <c r="K27" s="21"/>
      <c r="L27" s="21"/>
      <c r="M27" s="21"/>
      <c r="N27" s="21"/>
      <c r="O27" s="21"/>
      <c r="P27" s="21"/>
      <c r="Q27" s="18">
        <v>102.0</v>
      </c>
      <c r="R27" s="21"/>
      <c r="S27" s="21"/>
      <c r="T27" s="18">
        <v>230.0</v>
      </c>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4"/>
    </row>
    <row r="28">
      <c r="A28" s="21"/>
      <c r="B28" s="21"/>
      <c r="C28" s="21"/>
      <c r="D28" s="21"/>
      <c r="E28" s="18">
        <v>12.0</v>
      </c>
      <c r="F28" s="18">
        <v>112.0</v>
      </c>
      <c r="G28" s="21"/>
      <c r="H28" s="21"/>
      <c r="I28" s="21"/>
      <c r="J28" s="21"/>
      <c r="K28" s="21"/>
      <c r="L28" s="21"/>
      <c r="M28" s="21"/>
      <c r="N28" s="21"/>
      <c r="O28" s="21"/>
      <c r="P28" s="21"/>
      <c r="Q28" s="18">
        <v>112.0</v>
      </c>
      <c r="R28" s="21"/>
      <c r="S28" s="21"/>
      <c r="T28" s="18">
        <v>252.0</v>
      </c>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4"/>
    </row>
    <row r="29">
      <c r="A29" s="22"/>
      <c r="B29" s="22"/>
      <c r="C29" s="22"/>
      <c r="D29" s="22"/>
      <c r="E29" s="18">
        <v>13.0</v>
      </c>
      <c r="F29" s="18">
        <v>123.0</v>
      </c>
      <c r="G29" s="22"/>
      <c r="H29" s="22"/>
      <c r="I29" s="22"/>
      <c r="J29" s="22"/>
      <c r="K29" s="22"/>
      <c r="L29" s="22"/>
      <c r="M29" s="22"/>
      <c r="N29" s="22"/>
      <c r="O29" s="22"/>
      <c r="P29" s="22"/>
      <c r="Q29" s="18">
        <v>123.0</v>
      </c>
      <c r="R29" s="22"/>
      <c r="S29" s="22"/>
      <c r="T29" s="18">
        <v>278.0</v>
      </c>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4"/>
    </row>
    <row r="30">
      <c r="A30" s="16" t="s">
        <v>93</v>
      </c>
      <c r="B30" s="17" t="s">
        <v>83</v>
      </c>
      <c r="C30" s="16" t="s">
        <v>87</v>
      </c>
      <c r="D30" s="16">
        <v>3.0</v>
      </c>
      <c r="E30" s="18">
        <v>1.0</v>
      </c>
      <c r="F30" s="18">
        <v>42.0</v>
      </c>
      <c r="G30" s="16" t="s">
        <v>85</v>
      </c>
      <c r="H30" s="16" t="s">
        <v>85</v>
      </c>
      <c r="I30" s="16" t="s">
        <v>85</v>
      </c>
      <c r="J30" s="16" t="s">
        <v>85</v>
      </c>
      <c r="K30" s="16" t="s">
        <v>85</v>
      </c>
      <c r="L30" s="16" t="s">
        <v>85</v>
      </c>
      <c r="M30" s="16" t="s">
        <v>85</v>
      </c>
      <c r="N30" s="16" t="s">
        <v>85</v>
      </c>
      <c r="O30" s="16" t="s">
        <v>85</v>
      </c>
      <c r="P30" s="16" t="s">
        <v>85</v>
      </c>
      <c r="Q30" s="19">
        <v>35.0</v>
      </c>
      <c r="R30" s="16" t="s">
        <v>85</v>
      </c>
      <c r="S30" s="16" t="s">
        <v>85</v>
      </c>
      <c r="T30" s="18">
        <v>119.0</v>
      </c>
      <c r="U30" s="16" t="s">
        <v>85</v>
      </c>
      <c r="V30" s="16" t="s">
        <v>85</v>
      </c>
      <c r="W30" s="16" t="s">
        <v>85</v>
      </c>
      <c r="X30" s="16" t="s">
        <v>85</v>
      </c>
      <c r="Y30" s="16" t="s">
        <v>85</v>
      </c>
      <c r="Z30" s="16" t="s">
        <v>85</v>
      </c>
      <c r="AA30" s="16" t="s">
        <v>85</v>
      </c>
      <c r="AB30" s="16" t="s">
        <v>85</v>
      </c>
      <c r="AC30" s="16" t="s">
        <v>85</v>
      </c>
      <c r="AD30" s="16" t="s">
        <v>85</v>
      </c>
      <c r="AE30" s="16" t="s">
        <v>94</v>
      </c>
      <c r="AF30" s="16" t="s">
        <v>89</v>
      </c>
      <c r="AG30" s="16" t="s">
        <v>95</v>
      </c>
      <c r="AH30" s="16" t="s">
        <v>85</v>
      </c>
      <c r="AI30" s="16">
        <v>5.0</v>
      </c>
      <c r="AJ30" s="16" t="s">
        <v>85</v>
      </c>
      <c r="AK30" s="16" t="s">
        <v>85</v>
      </c>
      <c r="AL30" s="16" t="s">
        <v>85</v>
      </c>
      <c r="AM30" s="16" t="s">
        <v>96</v>
      </c>
      <c r="AN30" s="16" t="s">
        <v>85</v>
      </c>
      <c r="AO30" s="16" t="s">
        <v>85</v>
      </c>
      <c r="AP30" s="16" t="s">
        <v>85</v>
      </c>
      <c r="AQ30" s="16" t="s">
        <v>85</v>
      </c>
      <c r="AR30" s="16" t="s">
        <v>85</v>
      </c>
      <c r="AS30" s="16" t="s">
        <v>85</v>
      </c>
      <c r="AT30" s="16" t="s">
        <v>85</v>
      </c>
      <c r="AU30" s="16" t="s">
        <v>85</v>
      </c>
      <c r="AV30" s="16" t="s">
        <v>85</v>
      </c>
      <c r="AW30" s="16" t="s">
        <v>85</v>
      </c>
      <c r="AX30" s="16" t="s">
        <v>85</v>
      </c>
      <c r="AY30" s="16" t="s">
        <v>85</v>
      </c>
      <c r="AZ30" s="16" t="s">
        <v>85</v>
      </c>
      <c r="BA30" s="16" t="s">
        <v>85</v>
      </c>
      <c r="BB30" s="16" t="s">
        <v>85</v>
      </c>
      <c r="BC30" s="16" t="s">
        <v>85</v>
      </c>
      <c r="BD30" s="16" t="s">
        <v>85</v>
      </c>
      <c r="BE30" s="16" t="s">
        <v>85</v>
      </c>
      <c r="BF30" s="16" t="s">
        <v>85</v>
      </c>
      <c r="BG30" s="16" t="s">
        <v>85</v>
      </c>
      <c r="BH30" s="16" t="s">
        <v>85</v>
      </c>
      <c r="BI30" s="16" t="s">
        <v>85</v>
      </c>
      <c r="BJ30" s="16" t="s">
        <v>85</v>
      </c>
      <c r="BK30" s="20"/>
    </row>
    <row r="31">
      <c r="A31" s="21"/>
      <c r="B31" s="21"/>
      <c r="C31" s="21"/>
      <c r="D31" s="21"/>
      <c r="E31" s="18">
        <v>2.0</v>
      </c>
      <c r="F31" s="19">
        <v>46.0</v>
      </c>
      <c r="G31" s="21"/>
      <c r="H31" s="21"/>
      <c r="I31" s="21"/>
      <c r="J31" s="21"/>
      <c r="K31" s="21"/>
      <c r="L31" s="21"/>
      <c r="M31" s="21"/>
      <c r="N31" s="21"/>
      <c r="O31" s="21"/>
      <c r="P31" s="21"/>
      <c r="Q31" s="19">
        <v>38.0</v>
      </c>
      <c r="R31" s="21"/>
      <c r="S31" s="21"/>
      <c r="T31" s="19">
        <v>130.0</v>
      </c>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0"/>
    </row>
    <row r="32">
      <c r="A32" s="21"/>
      <c r="B32" s="21"/>
      <c r="C32" s="21"/>
      <c r="D32" s="21"/>
      <c r="E32" s="18">
        <v>3.0</v>
      </c>
      <c r="F32" s="19">
        <v>50.0</v>
      </c>
      <c r="G32" s="21"/>
      <c r="H32" s="21"/>
      <c r="I32" s="21"/>
      <c r="J32" s="21"/>
      <c r="K32" s="21"/>
      <c r="L32" s="21"/>
      <c r="M32" s="21"/>
      <c r="N32" s="21"/>
      <c r="O32" s="21"/>
      <c r="P32" s="21"/>
      <c r="Q32" s="19">
        <v>41.0</v>
      </c>
      <c r="R32" s="21"/>
      <c r="S32" s="21"/>
      <c r="T32" s="19">
        <v>143.0</v>
      </c>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0"/>
    </row>
    <row r="33">
      <c r="A33" s="21"/>
      <c r="B33" s="21"/>
      <c r="C33" s="21"/>
      <c r="D33" s="21"/>
      <c r="E33" s="18">
        <v>4.0</v>
      </c>
      <c r="F33" s="19">
        <v>55.0</v>
      </c>
      <c r="G33" s="21"/>
      <c r="H33" s="21"/>
      <c r="I33" s="21"/>
      <c r="J33" s="21"/>
      <c r="K33" s="21"/>
      <c r="L33" s="21"/>
      <c r="M33" s="21"/>
      <c r="N33" s="21"/>
      <c r="O33" s="21"/>
      <c r="P33" s="21"/>
      <c r="Q33" s="19">
        <v>45.0</v>
      </c>
      <c r="R33" s="21"/>
      <c r="S33" s="21"/>
      <c r="T33" s="19">
        <v>158.0</v>
      </c>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0"/>
    </row>
    <row r="34">
      <c r="A34" s="21"/>
      <c r="B34" s="21"/>
      <c r="C34" s="21"/>
      <c r="D34" s="21"/>
      <c r="E34" s="18">
        <v>5.0</v>
      </c>
      <c r="F34" s="19">
        <v>61.0</v>
      </c>
      <c r="G34" s="21"/>
      <c r="H34" s="21"/>
      <c r="I34" s="21"/>
      <c r="J34" s="21"/>
      <c r="K34" s="21"/>
      <c r="L34" s="21"/>
      <c r="M34" s="21"/>
      <c r="N34" s="21"/>
      <c r="O34" s="21"/>
      <c r="P34" s="21"/>
      <c r="Q34" s="19">
        <v>50.0</v>
      </c>
      <c r="R34" s="21"/>
      <c r="S34" s="21"/>
      <c r="T34" s="19">
        <v>173.0</v>
      </c>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0"/>
    </row>
    <row r="35">
      <c r="A35" s="21"/>
      <c r="B35" s="21"/>
      <c r="C35" s="21"/>
      <c r="D35" s="21"/>
      <c r="E35" s="18">
        <v>6.0</v>
      </c>
      <c r="F35" s="19">
        <v>67.0</v>
      </c>
      <c r="G35" s="21"/>
      <c r="H35" s="21"/>
      <c r="I35" s="21"/>
      <c r="J35" s="21"/>
      <c r="K35" s="21"/>
      <c r="L35" s="21"/>
      <c r="M35" s="21"/>
      <c r="N35" s="21"/>
      <c r="O35" s="21"/>
      <c r="P35" s="21"/>
      <c r="Q35" s="19">
        <v>55.0</v>
      </c>
      <c r="R35" s="21"/>
      <c r="S35" s="21"/>
      <c r="T35" s="19">
        <v>190.0</v>
      </c>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0"/>
    </row>
    <row r="36">
      <c r="A36" s="21"/>
      <c r="B36" s="21"/>
      <c r="C36" s="21"/>
      <c r="D36" s="21"/>
      <c r="E36" s="18">
        <v>7.0</v>
      </c>
      <c r="F36" s="19">
        <v>73.0</v>
      </c>
      <c r="G36" s="21"/>
      <c r="H36" s="21"/>
      <c r="I36" s="21"/>
      <c r="J36" s="21"/>
      <c r="K36" s="21"/>
      <c r="L36" s="21"/>
      <c r="M36" s="21"/>
      <c r="N36" s="21"/>
      <c r="O36" s="21"/>
      <c r="P36" s="21"/>
      <c r="Q36" s="19">
        <v>60.0</v>
      </c>
      <c r="R36" s="21"/>
      <c r="S36" s="21"/>
      <c r="T36" s="19">
        <v>209.0</v>
      </c>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0"/>
    </row>
    <row r="37">
      <c r="A37" s="21"/>
      <c r="B37" s="21"/>
      <c r="C37" s="21"/>
      <c r="D37" s="21"/>
      <c r="E37" s="18">
        <v>8.0</v>
      </c>
      <c r="F37" s="19">
        <v>81.0</v>
      </c>
      <c r="G37" s="21"/>
      <c r="H37" s="21"/>
      <c r="I37" s="21"/>
      <c r="J37" s="21"/>
      <c r="K37" s="21"/>
      <c r="L37" s="21"/>
      <c r="M37" s="21"/>
      <c r="N37" s="21"/>
      <c r="O37" s="21"/>
      <c r="P37" s="21"/>
      <c r="Q37" s="19">
        <v>67.0</v>
      </c>
      <c r="R37" s="21"/>
      <c r="S37" s="21"/>
      <c r="T37" s="19">
        <v>229.0</v>
      </c>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0"/>
    </row>
    <row r="38">
      <c r="A38" s="21"/>
      <c r="B38" s="21"/>
      <c r="C38" s="21"/>
      <c r="D38" s="21"/>
      <c r="E38" s="18">
        <v>9.0</v>
      </c>
      <c r="F38" s="19">
        <v>89.0</v>
      </c>
      <c r="G38" s="21"/>
      <c r="H38" s="21"/>
      <c r="I38" s="21"/>
      <c r="J38" s="21"/>
      <c r="K38" s="21"/>
      <c r="L38" s="21"/>
      <c r="M38" s="21"/>
      <c r="N38" s="21"/>
      <c r="O38" s="21"/>
      <c r="P38" s="21"/>
      <c r="Q38" s="19">
        <v>74.0</v>
      </c>
      <c r="R38" s="21"/>
      <c r="S38" s="21"/>
      <c r="T38" s="19">
        <v>252.0</v>
      </c>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0"/>
    </row>
    <row r="39">
      <c r="A39" s="21"/>
      <c r="B39" s="21"/>
      <c r="C39" s="21"/>
      <c r="D39" s="21"/>
      <c r="E39" s="18">
        <v>10.0</v>
      </c>
      <c r="F39" s="19">
        <v>97.0</v>
      </c>
      <c r="G39" s="21"/>
      <c r="H39" s="21"/>
      <c r="I39" s="21"/>
      <c r="J39" s="21"/>
      <c r="K39" s="21"/>
      <c r="L39" s="21"/>
      <c r="M39" s="21"/>
      <c r="N39" s="21"/>
      <c r="O39" s="21"/>
      <c r="P39" s="21"/>
      <c r="Q39" s="19">
        <v>80.0</v>
      </c>
      <c r="R39" s="21"/>
      <c r="S39" s="21"/>
      <c r="T39" s="19">
        <v>277.0</v>
      </c>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0"/>
    </row>
    <row r="40">
      <c r="A40" s="21"/>
      <c r="B40" s="21"/>
      <c r="C40" s="21"/>
      <c r="D40" s="21"/>
      <c r="E40" s="18">
        <v>11.0</v>
      </c>
      <c r="F40" s="19">
        <v>107.0</v>
      </c>
      <c r="G40" s="21"/>
      <c r="H40" s="21"/>
      <c r="I40" s="21"/>
      <c r="J40" s="21"/>
      <c r="K40" s="21"/>
      <c r="L40" s="21"/>
      <c r="M40" s="21"/>
      <c r="N40" s="21"/>
      <c r="O40" s="21"/>
      <c r="P40" s="21"/>
      <c r="Q40" s="19">
        <v>89.0</v>
      </c>
      <c r="R40" s="21"/>
      <c r="S40" s="21"/>
      <c r="T40" s="19">
        <v>304.0</v>
      </c>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0"/>
    </row>
    <row r="41">
      <c r="A41" s="21"/>
      <c r="B41" s="21"/>
      <c r="C41" s="21"/>
      <c r="D41" s="21"/>
      <c r="E41" s="18">
        <v>12.0</v>
      </c>
      <c r="F41" s="19">
        <v>118.0</v>
      </c>
      <c r="G41" s="21"/>
      <c r="H41" s="21"/>
      <c r="I41" s="21"/>
      <c r="J41" s="21"/>
      <c r="K41" s="21"/>
      <c r="L41" s="21"/>
      <c r="M41" s="21"/>
      <c r="N41" s="21"/>
      <c r="O41" s="21"/>
      <c r="P41" s="21"/>
      <c r="Q41" s="19">
        <v>98.0</v>
      </c>
      <c r="R41" s="21"/>
      <c r="S41" s="21"/>
      <c r="T41" s="19">
        <v>334.0</v>
      </c>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0"/>
    </row>
    <row r="42">
      <c r="A42" s="22"/>
      <c r="B42" s="22"/>
      <c r="C42" s="22"/>
      <c r="D42" s="22"/>
      <c r="E42" s="18">
        <v>13.0</v>
      </c>
      <c r="F42" s="19">
        <v>129.0</v>
      </c>
      <c r="G42" s="22"/>
      <c r="H42" s="22"/>
      <c r="I42" s="22"/>
      <c r="J42" s="22"/>
      <c r="K42" s="22"/>
      <c r="L42" s="22"/>
      <c r="M42" s="22"/>
      <c r="N42" s="22"/>
      <c r="O42" s="22"/>
      <c r="P42" s="22"/>
      <c r="Q42" s="19">
        <v>107.0</v>
      </c>
      <c r="R42" s="22"/>
      <c r="S42" s="22"/>
      <c r="T42" s="19">
        <v>367.0</v>
      </c>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0"/>
    </row>
    <row r="43">
      <c r="A43" s="16" t="s">
        <v>97</v>
      </c>
      <c r="B43" s="17" t="s">
        <v>83</v>
      </c>
      <c r="C43" s="16" t="s">
        <v>87</v>
      </c>
      <c r="D43" s="16">
        <v>3.0</v>
      </c>
      <c r="E43" s="18">
        <v>1.0</v>
      </c>
      <c r="F43" s="18">
        <v>79.0</v>
      </c>
      <c r="G43" s="16" t="s">
        <v>85</v>
      </c>
      <c r="H43" s="16" t="s">
        <v>85</v>
      </c>
      <c r="I43" s="16" t="s">
        <v>85</v>
      </c>
      <c r="J43" s="16" t="s">
        <v>85</v>
      </c>
      <c r="K43" s="16" t="s">
        <v>85</v>
      </c>
      <c r="L43" s="16" t="s">
        <v>85</v>
      </c>
      <c r="M43" s="16" t="s">
        <v>85</v>
      </c>
      <c r="N43" s="16" t="s">
        <v>85</v>
      </c>
      <c r="O43" s="16" t="s">
        <v>85</v>
      </c>
      <c r="P43" s="16" t="s">
        <v>85</v>
      </c>
      <c r="Q43" s="19">
        <v>65.0</v>
      </c>
      <c r="R43" s="16" t="s">
        <v>85</v>
      </c>
      <c r="S43" s="16" t="s">
        <v>85</v>
      </c>
      <c r="T43" s="18">
        <v>651.0</v>
      </c>
      <c r="U43" s="16" t="s">
        <v>85</v>
      </c>
      <c r="V43" s="16" t="s">
        <v>85</v>
      </c>
      <c r="W43" s="16" t="s">
        <v>85</v>
      </c>
      <c r="X43" s="16" t="s">
        <v>85</v>
      </c>
      <c r="Y43" s="16" t="s">
        <v>85</v>
      </c>
      <c r="Z43" s="16" t="s">
        <v>85</v>
      </c>
      <c r="AA43" s="16" t="s">
        <v>85</v>
      </c>
      <c r="AB43" s="16" t="s">
        <v>85</v>
      </c>
      <c r="AC43" s="16" t="s">
        <v>85</v>
      </c>
      <c r="AD43" s="16" t="s">
        <v>85</v>
      </c>
      <c r="AE43" s="16" t="s">
        <v>94</v>
      </c>
      <c r="AF43" s="16" t="s">
        <v>98</v>
      </c>
      <c r="AG43" s="16" t="s">
        <v>95</v>
      </c>
      <c r="AH43" s="16" t="s">
        <v>85</v>
      </c>
      <c r="AI43" s="16" t="s">
        <v>99</v>
      </c>
      <c r="AJ43" s="16" t="s">
        <v>85</v>
      </c>
      <c r="AK43" s="16" t="s">
        <v>85</v>
      </c>
      <c r="AL43" s="16" t="s">
        <v>85</v>
      </c>
      <c r="AM43" s="16" t="s">
        <v>85</v>
      </c>
      <c r="AN43" s="16" t="s">
        <v>85</v>
      </c>
      <c r="AO43" s="16" t="s">
        <v>85</v>
      </c>
      <c r="AP43" s="16" t="s">
        <v>85</v>
      </c>
      <c r="AQ43" s="16" t="s">
        <v>85</v>
      </c>
      <c r="AR43" s="16" t="s">
        <v>85</v>
      </c>
      <c r="AS43" s="16" t="s">
        <v>85</v>
      </c>
      <c r="AT43" s="16" t="s">
        <v>85</v>
      </c>
      <c r="AU43" s="16" t="s">
        <v>85</v>
      </c>
      <c r="AV43" s="16" t="s">
        <v>85</v>
      </c>
      <c r="AW43" s="16" t="s">
        <v>85</v>
      </c>
      <c r="AX43" s="16" t="s">
        <v>85</v>
      </c>
      <c r="AY43" s="16" t="s">
        <v>85</v>
      </c>
      <c r="AZ43" s="16" t="s">
        <v>85</v>
      </c>
      <c r="BA43" s="16" t="s">
        <v>85</v>
      </c>
      <c r="BB43" s="16" t="s">
        <v>85</v>
      </c>
      <c r="BC43" s="16" t="s">
        <v>85</v>
      </c>
      <c r="BD43" s="16" t="s">
        <v>85</v>
      </c>
      <c r="BE43" s="16" t="s">
        <v>85</v>
      </c>
      <c r="BF43" s="16" t="s">
        <v>85</v>
      </c>
      <c r="BG43" s="16" t="s">
        <v>85</v>
      </c>
      <c r="BH43" s="16" t="s">
        <v>85</v>
      </c>
      <c r="BI43" s="16" t="s">
        <v>85</v>
      </c>
      <c r="BJ43" s="16" t="s">
        <v>85</v>
      </c>
      <c r="BK43" s="25"/>
    </row>
    <row r="44">
      <c r="A44" s="21"/>
      <c r="B44" s="21"/>
      <c r="C44" s="21"/>
      <c r="D44" s="21"/>
      <c r="E44" s="18">
        <v>2.0</v>
      </c>
      <c r="F44" s="19">
        <v>86.0</v>
      </c>
      <c r="G44" s="21"/>
      <c r="H44" s="21"/>
      <c r="I44" s="21"/>
      <c r="J44" s="21"/>
      <c r="K44" s="21"/>
      <c r="L44" s="21"/>
      <c r="M44" s="21"/>
      <c r="N44" s="21"/>
      <c r="O44" s="21"/>
      <c r="P44" s="21"/>
      <c r="Q44" s="19">
        <v>71.0</v>
      </c>
      <c r="R44" s="21"/>
      <c r="S44" s="21"/>
      <c r="T44" s="26">
        <v>716.0</v>
      </c>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5"/>
    </row>
    <row r="45">
      <c r="A45" s="21"/>
      <c r="B45" s="21"/>
      <c r="C45" s="21"/>
      <c r="D45" s="21"/>
      <c r="E45" s="18">
        <v>3.0</v>
      </c>
      <c r="F45" s="19">
        <v>95.0</v>
      </c>
      <c r="G45" s="21"/>
      <c r="H45" s="21"/>
      <c r="I45" s="21"/>
      <c r="J45" s="21"/>
      <c r="K45" s="21"/>
      <c r="L45" s="21"/>
      <c r="M45" s="21"/>
      <c r="N45" s="21"/>
      <c r="O45" s="21"/>
      <c r="P45" s="21"/>
      <c r="Q45" s="19">
        <v>79.0</v>
      </c>
      <c r="R45" s="21"/>
      <c r="S45" s="21"/>
      <c r="T45" s="26">
        <v>787.0</v>
      </c>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5"/>
    </row>
    <row r="46">
      <c r="A46" s="21"/>
      <c r="B46" s="21"/>
      <c r="C46" s="21"/>
      <c r="D46" s="21"/>
      <c r="E46" s="18">
        <v>4.0</v>
      </c>
      <c r="F46" s="19">
        <v>105.0</v>
      </c>
      <c r="G46" s="21"/>
      <c r="H46" s="21"/>
      <c r="I46" s="21"/>
      <c r="J46" s="21"/>
      <c r="K46" s="21"/>
      <c r="L46" s="21"/>
      <c r="M46" s="21"/>
      <c r="N46" s="21"/>
      <c r="O46" s="21"/>
      <c r="P46" s="21"/>
      <c r="Q46" s="19">
        <v>87.0</v>
      </c>
      <c r="R46" s="21"/>
      <c r="S46" s="21"/>
      <c r="T46" s="26">
        <v>865.0</v>
      </c>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5"/>
    </row>
    <row r="47">
      <c r="A47" s="21"/>
      <c r="B47" s="21"/>
      <c r="C47" s="21"/>
      <c r="D47" s="21"/>
      <c r="E47" s="18">
        <v>5.0</v>
      </c>
      <c r="F47" s="19">
        <v>115.0</v>
      </c>
      <c r="G47" s="21"/>
      <c r="H47" s="21"/>
      <c r="I47" s="21"/>
      <c r="J47" s="21"/>
      <c r="K47" s="21"/>
      <c r="L47" s="21"/>
      <c r="M47" s="21"/>
      <c r="N47" s="21"/>
      <c r="O47" s="21"/>
      <c r="P47" s="21"/>
      <c r="Q47" s="19">
        <v>95.0</v>
      </c>
      <c r="R47" s="21"/>
      <c r="S47" s="21"/>
      <c r="T47" s="26">
        <v>950.0</v>
      </c>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5"/>
    </row>
    <row r="48">
      <c r="A48" s="21"/>
      <c r="B48" s="21"/>
      <c r="C48" s="21"/>
      <c r="D48" s="21"/>
      <c r="E48" s="18">
        <v>6.0</v>
      </c>
      <c r="F48" s="19">
        <v>126.0</v>
      </c>
      <c r="G48" s="21"/>
      <c r="H48" s="21"/>
      <c r="I48" s="21"/>
      <c r="J48" s="21"/>
      <c r="K48" s="21"/>
      <c r="L48" s="21"/>
      <c r="M48" s="21"/>
      <c r="N48" s="21"/>
      <c r="O48" s="21"/>
      <c r="P48" s="21"/>
      <c r="Q48" s="19">
        <v>105.0</v>
      </c>
      <c r="R48" s="21"/>
      <c r="S48" s="21"/>
      <c r="T48" s="26">
        <v>1041.0</v>
      </c>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5"/>
    </row>
    <row r="49">
      <c r="A49" s="21"/>
      <c r="B49" s="21"/>
      <c r="C49" s="21"/>
      <c r="D49" s="21"/>
      <c r="E49" s="18">
        <v>7.0</v>
      </c>
      <c r="F49" s="19">
        <v>139.0</v>
      </c>
      <c r="G49" s="21"/>
      <c r="H49" s="21"/>
      <c r="I49" s="21"/>
      <c r="J49" s="21"/>
      <c r="K49" s="21"/>
      <c r="L49" s="21"/>
      <c r="M49" s="21"/>
      <c r="N49" s="21"/>
      <c r="O49" s="21"/>
      <c r="P49" s="21"/>
      <c r="Q49" s="19">
        <v>115.0</v>
      </c>
      <c r="R49" s="21"/>
      <c r="S49" s="21"/>
      <c r="T49" s="26">
        <v>1145.0</v>
      </c>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5"/>
    </row>
    <row r="50">
      <c r="A50" s="21"/>
      <c r="B50" s="21"/>
      <c r="C50" s="21"/>
      <c r="D50" s="21"/>
      <c r="E50" s="18">
        <v>8.0</v>
      </c>
      <c r="F50" s="19">
        <v>152.0</v>
      </c>
      <c r="G50" s="21"/>
      <c r="H50" s="21"/>
      <c r="I50" s="21"/>
      <c r="J50" s="21"/>
      <c r="K50" s="21"/>
      <c r="L50" s="21"/>
      <c r="M50" s="21"/>
      <c r="N50" s="21"/>
      <c r="O50" s="21"/>
      <c r="P50" s="21"/>
      <c r="Q50" s="19">
        <v>126.0</v>
      </c>
      <c r="R50" s="21"/>
      <c r="S50" s="21"/>
      <c r="T50" s="26">
        <v>1256.0</v>
      </c>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5"/>
    </row>
    <row r="51">
      <c r="A51" s="21"/>
      <c r="B51" s="21"/>
      <c r="C51" s="21"/>
      <c r="D51" s="21"/>
      <c r="E51" s="18">
        <v>9.0</v>
      </c>
      <c r="F51" s="19">
        <v>167.0</v>
      </c>
      <c r="G51" s="21"/>
      <c r="H51" s="21"/>
      <c r="I51" s="21"/>
      <c r="J51" s="21"/>
      <c r="K51" s="21"/>
      <c r="L51" s="21"/>
      <c r="M51" s="21"/>
      <c r="N51" s="21"/>
      <c r="O51" s="21"/>
      <c r="P51" s="21"/>
      <c r="Q51" s="19">
        <v>139.0</v>
      </c>
      <c r="R51" s="21"/>
      <c r="S51" s="21"/>
      <c r="T51" s="26">
        <v>1380.0</v>
      </c>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5"/>
    </row>
    <row r="52">
      <c r="A52" s="21"/>
      <c r="B52" s="21"/>
      <c r="C52" s="21"/>
      <c r="D52" s="21"/>
      <c r="E52" s="18">
        <v>10.0</v>
      </c>
      <c r="F52" s="19">
        <v>184.0</v>
      </c>
      <c r="G52" s="21"/>
      <c r="H52" s="21"/>
      <c r="I52" s="21"/>
      <c r="J52" s="21"/>
      <c r="K52" s="21"/>
      <c r="L52" s="21"/>
      <c r="M52" s="21"/>
      <c r="N52" s="21"/>
      <c r="O52" s="21"/>
      <c r="P52" s="21"/>
      <c r="Q52" s="19">
        <v>153.0</v>
      </c>
      <c r="R52" s="21"/>
      <c r="S52" s="21"/>
      <c r="T52" s="26">
        <v>1516.0</v>
      </c>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5"/>
    </row>
    <row r="53">
      <c r="A53" s="21"/>
      <c r="B53" s="21"/>
      <c r="C53" s="21"/>
      <c r="D53" s="21"/>
      <c r="E53" s="18">
        <v>11.0</v>
      </c>
      <c r="F53" s="19">
        <v>202.0</v>
      </c>
      <c r="G53" s="21"/>
      <c r="H53" s="21"/>
      <c r="I53" s="21"/>
      <c r="J53" s="21"/>
      <c r="K53" s="21"/>
      <c r="L53" s="21"/>
      <c r="M53" s="21"/>
      <c r="N53" s="21"/>
      <c r="O53" s="21"/>
      <c r="P53" s="21"/>
      <c r="Q53" s="19">
        <v>168.0</v>
      </c>
      <c r="R53" s="21"/>
      <c r="S53" s="21"/>
      <c r="T53" s="26">
        <v>1666.0</v>
      </c>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5"/>
    </row>
    <row r="54">
      <c r="A54" s="21"/>
      <c r="B54" s="21"/>
      <c r="C54" s="21"/>
      <c r="D54" s="21"/>
      <c r="E54" s="18">
        <v>12.0</v>
      </c>
      <c r="F54" s="19">
        <v>221.0</v>
      </c>
      <c r="G54" s="21"/>
      <c r="H54" s="21"/>
      <c r="I54" s="21"/>
      <c r="J54" s="21"/>
      <c r="K54" s="21"/>
      <c r="L54" s="21"/>
      <c r="M54" s="21"/>
      <c r="N54" s="21"/>
      <c r="O54" s="21"/>
      <c r="P54" s="21"/>
      <c r="Q54" s="19">
        <v>184.0</v>
      </c>
      <c r="R54" s="21"/>
      <c r="S54" s="21"/>
      <c r="T54" s="26">
        <v>1829.0</v>
      </c>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5"/>
    </row>
    <row r="55">
      <c r="A55" s="22"/>
      <c r="B55" s="22"/>
      <c r="C55" s="22"/>
      <c r="D55" s="22"/>
      <c r="E55" s="18">
        <v>13.0</v>
      </c>
      <c r="F55" s="19">
        <v>244.0</v>
      </c>
      <c r="G55" s="22"/>
      <c r="H55" s="22"/>
      <c r="I55" s="22"/>
      <c r="J55" s="22"/>
      <c r="K55" s="22"/>
      <c r="L55" s="22"/>
      <c r="M55" s="22"/>
      <c r="N55" s="22"/>
      <c r="O55" s="22"/>
      <c r="P55" s="22"/>
      <c r="Q55" s="19">
        <v>203.0</v>
      </c>
      <c r="R55" s="22"/>
      <c r="S55" s="22"/>
      <c r="T55" s="26">
        <v>2011.0</v>
      </c>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5"/>
    </row>
    <row r="56">
      <c r="A56" s="16" t="s">
        <v>100</v>
      </c>
      <c r="B56" s="27" t="s">
        <v>101</v>
      </c>
      <c r="C56" s="16" t="s">
        <v>84</v>
      </c>
      <c r="D56" s="16">
        <v>4.0</v>
      </c>
      <c r="E56" s="18">
        <v>3.0</v>
      </c>
      <c r="F56" s="16" t="s">
        <v>85</v>
      </c>
      <c r="G56" s="18">
        <v>325.0</v>
      </c>
      <c r="H56" s="16" t="s">
        <v>85</v>
      </c>
      <c r="I56" s="16" t="s">
        <v>85</v>
      </c>
      <c r="J56" s="16" t="s">
        <v>85</v>
      </c>
      <c r="K56" s="16" t="s">
        <v>85</v>
      </c>
      <c r="L56" s="16" t="s">
        <v>85</v>
      </c>
      <c r="M56" s="18">
        <v>98.0</v>
      </c>
      <c r="N56" s="16" t="s">
        <v>85</v>
      </c>
      <c r="O56" s="16" t="s">
        <v>85</v>
      </c>
      <c r="P56" s="16" t="s">
        <v>85</v>
      </c>
      <c r="Q56" s="16" t="s">
        <v>85</v>
      </c>
      <c r="R56" s="16" t="s">
        <v>85</v>
      </c>
      <c r="S56" s="16" t="s">
        <v>85</v>
      </c>
      <c r="T56" s="16" t="s">
        <v>85</v>
      </c>
      <c r="U56" s="16" t="s">
        <v>85</v>
      </c>
      <c r="V56" s="16" t="s">
        <v>85</v>
      </c>
      <c r="W56" s="16" t="s">
        <v>85</v>
      </c>
      <c r="X56" s="16" t="s">
        <v>85</v>
      </c>
      <c r="Y56" s="16" t="s">
        <v>85</v>
      </c>
      <c r="Z56" s="16" t="s">
        <v>85</v>
      </c>
      <c r="AA56" s="16" t="s">
        <v>85</v>
      </c>
      <c r="AB56" s="16" t="s">
        <v>85</v>
      </c>
      <c r="AC56" s="16" t="s">
        <v>85</v>
      </c>
      <c r="AD56" s="16" t="s">
        <v>85</v>
      </c>
      <c r="AE56" s="16" t="s">
        <v>85</v>
      </c>
      <c r="AF56" s="16" t="s">
        <v>85</v>
      </c>
      <c r="AG56" s="16" t="s">
        <v>85</v>
      </c>
      <c r="AH56" s="16" t="s">
        <v>85</v>
      </c>
      <c r="AI56" s="16" t="s">
        <v>85</v>
      </c>
      <c r="AJ56" s="16" t="s">
        <v>85</v>
      </c>
      <c r="AK56" s="16" t="s">
        <v>85</v>
      </c>
      <c r="AL56" s="16" t="s">
        <v>85</v>
      </c>
      <c r="AM56" s="16" t="s">
        <v>85</v>
      </c>
      <c r="AN56" s="16" t="s">
        <v>85</v>
      </c>
      <c r="AO56" s="16" t="s">
        <v>85</v>
      </c>
      <c r="AP56" s="16" t="s">
        <v>85</v>
      </c>
      <c r="AQ56" s="16" t="s">
        <v>85</v>
      </c>
      <c r="AR56" s="16" t="s">
        <v>85</v>
      </c>
      <c r="AS56" s="16" t="s">
        <v>85</v>
      </c>
      <c r="AT56" s="16" t="s">
        <v>85</v>
      </c>
      <c r="AU56" s="16" t="s">
        <v>85</v>
      </c>
      <c r="AV56" s="16" t="s">
        <v>85</v>
      </c>
      <c r="AW56" s="16" t="s">
        <v>85</v>
      </c>
      <c r="AX56" s="16" t="s">
        <v>85</v>
      </c>
      <c r="AY56" s="16" t="s">
        <v>85</v>
      </c>
      <c r="AZ56" s="16" t="s">
        <v>85</v>
      </c>
      <c r="BA56" s="16" t="s">
        <v>85</v>
      </c>
      <c r="BB56" s="16" t="s">
        <v>85</v>
      </c>
      <c r="BC56" s="16" t="s">
        <v>85</v>
      </c>
      <c r="BD56" s="16" t="s">
        <v>85</v>
      </c>
      <c r="BE56" s="16" t="s">
        <v>85</v>
      </c>
      <c r="BF56" s="16" t="s">
        <v>85</v>
      </c>
      <c r="BG56" s="16" t="s">
        <v>85</v>
      </c>
      <c r="BH56" s="16" t="s">
        <v>85</v>
      </c>
      <c r="BI56" s="16" t="s">
        <v>85</v>
      </c>
      <c r="BJ56" s="16">
        <v>2.5</v>
      </c>
      <c r="BK56" s="25"/>
    </row>
    <row r="57">
      <c r="A57" s="21"/>
      <c r="B57" s="21"/>
      <c r="C57" s="21"/>
      <c r="D57" s="21"/>
      <c r="E57" s="18">
        <v>4.0</v>
      </c>
      <c r="F57" s="21"/>
      <c r="G57" s="18">
        <v>357.0</v>
      </c>
      <c r="H57" s="21"/>
      <c r="I57" s="21"/>
      <c r="J57" s="21"/>
      <c r="K57" s="21"/>
      <c r="L57" s="21"/>
      <c r="M57" s="18">
        <v>108.0</v>
      </c>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5"/>
    </row>
    <row r="58">
      <c r="A58" s="21"/>
      <c r="B58" s="21"/>
      <c r="C58" s="21"/>
      <c r="D58" s="21"/>
      <c r="E58" s="18">
        <v>5.0</v>
      </c>
      <c r="F58" s="21"/>
      <c r="G58" s="18">
        <v>393.0</v>
      </c>
      <c r="H58" s="21"/>
      <c r="I58" s="21"/>
      <c r="J58" s="21"/>
      <c r="K58" s="21"/>
      <c r="L58" s="21"/>
      <c r="M58" s="18">
        <v>118.0</v>
      </c>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5"/>
    </row>
    <row r="59">
      <c r="A59" s="21"/>
      <c r="B59" s="21"/>
      <c r="C59" s="21"/>
      <c r="D59" s="21"/>
      <c r="E59" s="18">
        <v>6.0</v>
      </c>
      <c r="F59" s="21"/>
      <c r="G59" s="18">
        <v>432.0</v>
      </c>
      <c r="H59" s="21"/>
      <c r="I59" s="21"/>
      <c r="J59" s="21"/>
      <c r="K59" s="21"/>
      <c r="L59" s="21"/>
      <c r="M59" s="18">
        <v>130.0</v>
      </c>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5"/>
    </row>
    <row r="60">
      <c r="A60" s="21"/>
      <c r="B60" s="21"/>
      <c r="C60" s="21"/>
      <c r="D60" s="21"/>
      <c r="E60" s="18">
        <v>7.0</v>
      </c>
      <c r="F60" s="21"/>
      <c r="G60" s="18">
        <v>474.0</v>
      </c>
      <c r="H60" s="21"/>
      <c r="I60" s="21"/>
      <c r="J60" s="21"/>
      <c r="K60" s="21"/>
      <c r="L60" s="21"/>
      <c r="M60" s="18">
        <v>143.0</v>
      </c>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5"/>
    </row>
    <row r="61">
      <c r="A61" s="21"/>
      <c r="B61" s="21"/>
      <c r="C61" s="21"/>
      <c r="D61" s="21"/>
      <c r="E61" s="18">
        <v>8.0</v>
      </c>
      <c r="F61" s="21"/>
      <c r="G61" s="18">
        <v>520.0</v>
      </c>
      <c r="H61" s="21"/>
      <c r="I61" s="21"/>
      <c r="J61" s="21"/>
      <c r="K61" s="21"/>
      <c r="L61" s="21"/>
      <c r="M61" s="18">
        <v>156.0</v>
      </c>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5"/>
    </row>
    <row r="62">
      <c r="A62" s="21"/>
      <c r="B62" s="21"/>
      <c r="C62" s="21"/>
      <c r="D62" s="21"/>
      <c r="E62" s="18">
        <v>9.0</v>
      </c>
      <c r="F62" s="21"/>
      <c r="G62" s="18">
        <v>572.0</v>
      </c>
      <c r="H62" s="21"/>
      <c r="I62" s="21"/>
      <c r="J62" s="21"/>
      <c r="K62" s="21"/>
      <c r="L62" s="21"/>
      <c r="M62" s="18">
        <v>172.0</v>
      </c>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5"/>
    </row>
    <row r="63">
      <c r="A63" s="21"/>
      <c r="B63" s="21"/>
      <c r="C63" s="21"/>
      <c r="D63" s="21"/>
      <c r="E63" s="18">
        <v>10.0</v>
      </c>
      <c r="F63" s="21"/>
      <c r="G63" s="18">
        <v>627.0</v>
      </c>
      <c r="H63" s="21"/>
      <c r="I63" s="21"/>
      <c r="J63" s="21"/>
      <c r="K63" s="21"/>
      <c r="L63" s="21"/>
      <c r="M63" s="18">
        <v>189.0</v>
      </c>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5"/>
    </row>
    <row r="64">
      <c r="A64" s="21"/>
      <c r="B64" s="21"/>
      <c r="C64" s="21"/>
      <c r="D64" s="21"/>
      <c r="E64" s="18">
        <v>11.0</v>
      </c>
      <c r="F64" s="21"/>
      <c r="G64" s="18">
        <v>689.0</v>
      </c>
      <c r="H64" s="21"/>
      <c r="I64" s="21"/>
      <c r="J64" s="21"/>
      <c r="K64" s="21"/>
      <c r="L64" s="21"/>
      <c r="M64" s="18">
        <v>207.0</v>
      </c>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5"/>
    </row>
    <row r="65">
      <c r="A65" s="21"/>
      <c r="B65" s="21"/>
      <c r="C65" s="21"/>
      <c r="D65" s="21"/>
      <c r="E65" s="18">
        <v>12.0</v>
      </c>
      <c r="F65" s="21"/>
      <c r="G65" s="18">
        <v>757.0</v>
      </c>
      <c r="H65" s="21"/>
      <c r="I65" s="21"/>
      <c r="J65" s="21"/>
      <c r="K65" s="21"/>
      <c r="L65" s="21"/>
      <c r="M65" s="18">
        <v>228.0</v>
      </c>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5"/>
    </row>
    <row r="66">
      <c r="A66" s="22"/>
      <c r="B66" s="22"/>
      <c r="C66" s="22"/>
      <c r="D66" s="22"/>
      <c r="E66" s="18">
        <v>13.0</v>
      </c>
      <c r="F66" s="22"/>
      <c r="G66" s="18">
        <v>832.0</v>
      </c>
      <c r="H66" s="22"/>
      <c r="I66" s="22"/>
      <c r="J66" s="22"/>
      <c r="K66" s="22"/>
      <c r="L66" s="22"/>
      <c r="M66" s="18">
        <v>250.0</v>
      </c>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5"/>
    </row>
    <row r="67">
      <c r="A67" s="16" t="s">
        <v>102</v>
      </c>
      <c r="B67" s="27" t="s">
        <v>101</v>
      </c>
      <c r="C67" s="16" t="s">
        <v>87</v>
      </c>
      <c r="D67" s="16">
        <v>4.0</v>
      </c>
      <c r="E67" s="18">
        <v>3.0</v>
      </c>
      <c r="F67" s="18">
        <v>340.0</v>
      </c>
      <c r="G67" s="16" t="s">
        <v>85</v>
      </c>
      <c r="H67" s="16" t="s">
        <v>85</v>
      </c>
      <c r="I67" s="16" t="s">
        <v>85</v>
      </c>
      <c r="J67" s="16" t="s">
        <v>85</v>
      </c>
      <c r="K67" s="16" t="s">
        <v>85</v>
      </c>
      <c r="L67" s="16" t="s">
        <v>85</v>
      </c>
      <c r="M67" s="16" t="s">
        <v>85</v>
      </c>
      <c r="N67" s="16" t="s">
        <v>85</v>
      </c>
      <c r="O67" s="16" t="s">
        <v>85</v>
      </c>
      <c r="P67" s="16" t="s">
        <v>85</v>
      </c>
      <c r="Q67" s="19">
        <v>200.0</v>
      </c>
      <c r="R67" s="16" t="s">
        <v>85</v>
      </c>
      <c r="S67" s="16" t="s">
        <v>85</v>
      </c>
      <c r="T67" s="18">
        <v>642.0</v>
      </c>
      <c r="U67" s="16" t="s">
        <v>85</v>
      </c>
      <c r="V67" s="16" t="s">
        <v>85</v>
      </c>
      <c r="W67" s="16" t="s">
        <v>85</v>
      </c>
      <c r="X67" s="16" t="s">
        <v>85</v>
      </c>
      <c r="Y67" s="16" t="s">
        <v>85</v>
      </c>
      <c r="Z67" s="16" t="s">
        <v>85</v>
      </c>
      <c r="AA67" s="16" t="s">
        <v>85</v>
      </c>
      <c r="AB67" s="16" t="s">
        <v>85</v>
      </c>
      <c r="AC67" s="16" t="s">
        <v>85</v>
      </c>
      <c r="AD67" s="16" t="s">
        <v>85</v>
      </c>
      <c r="AE67" s="16" t="s">
        <v>103</v>
      </c>
      <c r="AF67" s="16" t="s">
        <v>98</v>
      </c>
      <c r="AG67" s="16" t="s">
        <v>90</v>
      </c>
      <c r="AH67" s="16" t="s">
        <v>85</v>
      </c>
      <c r="AI67" s="16" t="s">
        <v>104</v>
      </c>
      <c r="AJ67" s="16" t="s">
        <v>85</v>
      </c>
      <c r="AK67" s="16" t="s">
        <v>85</v>
      </c>
      <c r="AL67" s="16" t="s">
        <v>85</v>
      </c>
      <c r="AM67" s="16" t="s">
        <v>85</v>
      </c>
      <c r="AN67" s="16" t="s">
        <v>85</v>
      </c>
      <c r="AO67" s="16" t="s">
        <v>85</v>
      </c>
      <c r="AP67" s="16" t="s">
        <v>85</v>
      </c>
      <c r="AQ67" s="16" t="s">
        <v>85</v>
      </c>
      <c r="AR67" s="16" t="s">
        <v>85</v>
      </c>
      <c r="AS67" s="16" t="s">
        <v>85</v>
      </c>
      <c r="AT67" s="16" t="s">
        <v>85</v>
      </c>
      <c r="AU67" s="16" t="s">
        <v>85</v>
      </c>
      <c r="AV67" s="16" t="s">
        <v>85</v>
      </c>
      <c r="AW67" s="16" t="s">
        <v>85</v>
      </c>
      <c r="AX67" s="16" t="s">
        <v>85</v>
      </c>
      <c r="AY67" s="16" t="s">
        <v>85</v>
      </c>
      <c r="AZ67" s="16" t="s">
        <v>85</v>
      </c>
      <c r="BA67" s="16" t="s">
        <v>85</v>
      </c>
      <c r="BB67" s="16" t="s">
        <v>85</v>
      </c>
      <c r="BC67" s="16" t="s">
        <v>85</v>
      </c>
      <c r="BD67" s="16" t="s">
        <v>85</v>
      </c>
      <c r="BE67" s="16" t="s">
        <v>85</v>
      </c>
      <c r="BF67" s="16" t="s">
        <v>85</v>
      </c>
      <c r="BG67" s="16" t="s">
        <v>85</v>
      </c>
      <c r="BH67" s="16" t="s">
        <v>85</v>
      </c>
      <c r="BI67" s="16" t="s">
        <v>85</v>
      </c>
      <c r="BJ67" s="16" t="s">
        <v>85</v>
      </c>
      <c r="BK67" s="25"/>
    </row>
    <row r="68">
      <c r="A68" s="21"/>
      <c r="B68" s="21"/>
      <c r="C68" s="21"/>
      <c r="D68" s="21"/>
      <c r="E68" s="18">
        <v>4.0</v>
      </c>
      <c r="F68" s="18">
        <v>374.0</v>
      </c>
      <c r="G68" s="21"/>
      <c r="H68" s="21"/>
      <c r="I68" s="21"/>
      <c r="J68" s="21"/>
      <c r="K68" s="21"/>
      <c r="L68" s="21"/>
      <c r="M68" s="21"/>
      <c r="N68" s="21"/>
      <c r="O68" s="21"/>
      <c r="P68" s="21"/>
      <c r="Q68" s="19">
        <v>220.0</v>
      </c>
      <c r="R68" s="21"/>
      <c r="S68" s="21"/>
      <c r="T68" s="19">
        <v>706.0</v>
      </c>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5"/>
    </row>
    <row r="69">
      <c r="A69" s="21"/>
      <c r="B69" s="21"/>
      <c r="C69" s="21"/>
      <c r="D69" s="21"/>
      <c r="E69" s="18">
        <v>5.0</v>
      </c>
      <c r="F69" s="18">
        <v>411.0</v>
      </c>
      <c r="G69" s="21"/>
      <c r="H69" s="21"/>
      <c r="I69" s="21"/>
      <c r="J69" s="21"/>
      <c r="K69" s="21"/>
      <c r="L69" s="21"/>
      <c r="M69" s="21"/>
      <c r="N69" s="21"/>
      <c r="O69" s="21"/>
      <c r="P69" s="21"/>
      <c r="Q69" s="19">
        <v>241.0</v>
      </c>
      <c r="R69" s="21"/>
      <c r="S69" s="21"/>
      <c r="T69" s="19">
        <v>776.0</v>
      </c>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5"/>
    </row>
    <row r="70">
      <c r="A70" s="21"/>
      <c r="B70" s="21"/>
      <c r="C70" s="21"/>
      <c r="D70" s="21"/>
      <c r="E70" s="18">
        <v>6.0</v>
      </c>
      <c r="F70" s="18">
        <v>452.0</v>
      </c>
      <c r="G70" s="21"/>
      <c r="H70" s="21"/>
      <c r="I70" s="21"/>
      <c r="J70" s="21"/>
      <c r="K70" s="21"/>
      <c r="L70" s="21"/>
      <c r="M70" s="21"/>
      <c r="N70" s="21"/>
      <c r="O70" s="21"/>
      <c r="P70" s="21"/>
      <c r="Q70" s="19">
        <v>265.0</v>
      </c>
      <c r="R70" s="21"/>
      <c r="S70" s="21"/>
      <c r="T70" s="19">
        <v>853.0</v>
      </c>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5"/>
    </row>
    <row r="71">
      <c r="A71" s="21"/>
      <c r="B71" s="21"/>
      <c r="C71" s="21"/>
      <c r="D71" s="21"/>
      <c r="E71" s="18">
        <v>7.0</v>
      </c>
      <c r="F71" s="18">
        <v>496.0</v>
      </c>
      <c r="G71" s="21"/>
      <c r="H71" s="21"/>
      <c r="I71" s="21"/>
      <c r="J71" s="21"/>
      <c r="K71" s="21"/>
      <c r="L71" s="21"/>
      <c r="M71" s="21"/>
      <c r="N71" s="21"/>
      <c r="O71" s="21"/>
      <c r="P71" s="21"/>
      <c r="Q71" s="19">
        <v>291.0</v>
      </c>
      <c r="R71" s="21"/>
      <c r="S71" s="21"/>
      <c r="T71" s="19">
        <v>937.0</v>
      </c>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5"/>
    </row>
    <row r="72">
      <c r="A72" s="21"/>
      <c r="B72" s="21"/>
      <c r="C72" s="21"/>
      <c r="D72" s="21"/>
      <c r="E72" s="18">
        <v>8.0</v>
      </c>
      <c r="F72" s="18">
        <v>544.0</v>
      </c>
      <c r="G72" s="21"/>
      <c r="H72" s="21"/>
      <c r="I72" s="21"/>
      <c r="J72" s="21"/>
      <c r="K72" s="21"/>
      <c r="L72" s="21"/>
      <c r="M72" s="21"/>
      <c r="N72" s="21"/>
      <c r="O72" s="21"/>
      <c r="P72" s="21"/>
      <c r="Q72" s="19">
        <v>320.0</v>
      </c>
      <c r="R72" s="21"/>
      <c r="S72" s="21"/>
      <c r="T72" s="19">
        <v>1027.0</v>
      </c>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5"/>
    </row>
    <row r="73">
      <c r="A73" s="21"/>
      <c r="B73" s="21"/>
      <c r="C73" s="21"/>
      <c r="D73" s="21"/>
      <c r="E73" s="18">
        <v>9.0</v>
      </c>
      <c r="F73" s="18">
        <v>598.0</v>
      </c>
      <c r="G73" s="21"/>
      <c r="H73" s="21"/>
      <c r="I73" s="21"/>
      <c r="J73" s="21"/>
      <c r="K73" s="21"/>
      <c r="L73" s="21"/>
      <c r="M73" s="21"/>
      <c r="N73" s="21"/>
      <c r="O73" s="21"/>
      <c r="P73" s="21"/>
      <c r="Q73" s="19">
        <v>351.0</v>
      </c>
      <c r="R73" s="21"/>
      <c r="S73" s="21"/>
      <c r="T73" s="19">
        <v>1129.0</v>
      </c>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5"/>
    </row>
    <row r="74">
      <c r="A74" s="21"/>
      <c r="B74" s="21"/>
      <c r="C74" s="21"/>
      <c r="D74" s="21"/>
      <c r="E74" s="18">
        <v>10.0</v>
      </c>
      <c r="F74" s="18">
        <v>656.0</v>
      </c>
      <c r="G74" s="21"/>
      <c r="H74" s="21"/>
      <c r="I74" s="21"/>
      <c r="J74" s="21"/>
      <c r="K74" s="21"/>
      <c r="L74" s="21"/>
      <c r="M74" s="21"/>
      <c r="N74" s="21"/>
      <c r="O74" s="21"/>
      <c r="P74" s="21"/>
      <c r="Q74" s="19">
        <v>385.0</v>
      </c>
      <c r="R74" s="21"/>
      <c r="S74" s="21"/>
      <c r="T74" s="19">
        <v>1239.0</v>
      </c>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5"/>
    </row>
    <row r="75">
      <c r="A75" s="21"/>
      <c r="B75" s="21"/>
      <c r="C75" s="21"/>
      <c r="D75" s="21"/>
      <c r="E75" s="18">
        <v>11.0</v>
      </c>
      <c r="F75" s="18">
        <v>720.0</v>
      </c>
      <c r="G75" s="21"/>
      <c r="H75" s="21"/>
      <c r="I75" s="21"/>
      <c r="J75" s="21"/>
      <c r="K75" s="21"/>
      <c r="L75" s="21"/>
      <c r="M75" s="21"/>
      <c r="N75" s="21"/>
      <c r="O75" s="21"/>
      <c r="P75" s="21"/>
      <c r="Q75" s="19">
        <v>423.0</v>
      </c>
      <c r="R75" s="21"/>
      <c r="S75" s="21"/>
      <c r="T75" s="19">
        <v>1361.0</v>
      </c>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5"/>
    </row>
    <row r="76">
      <c r="A76" s="21"/>
      <c r="B76" s="21"/>
      <c r="C76" s="21"/>
      <c r="D76" s="21"/>
      <c r="E76" s="18">
        <v>12.0</v>
      </c>
      <c r="F76" s="18">
        <v>792.0</v>
      </c>
      <c r="G76" s="21"/>
      <c r="H76" s="21"/>
      <c r="I76" s="21"/>
      <c r="J76" s="21"/>
      <c r="K76" s="21"/>
      <c r="L76" s="21"/>
      <c r="M76" s="21"/>
      <c r="N76" s="21"/>
      <c r="O76" s="21"/>
      <c r="P76" s="21"/>
      <c r="Q76" s="19">
        <v>465.0</v>
      </c>
      <c r="R76" s="21"/>
      <c r="S76" s="21"/>
      <c r="T76" s="19">
        <v>1495.0</v>
      </c>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5"/>
    </row>
    <row r="77">
      <c r="A77" s="22"/>
      <c r="B77" s="22"/>
      <c r="C77" s="22"/>
      <c r="D77" s="22"/>
      <c r="E77" s="18">
        <v>13.0</v>
      </c>
      <c r="F77" s="18">
        <v>870.0</v>
      </c>
      <c r="G77" s="22"/>
      <c r="H77" s="22"/>
      <c r="I77" s="22"/>
      <c r="J77" s="22"/>
      <c r="K77" s="22"/>
      <c r="L77" s="22"/>
      <c r="M77" s="22"/>
      <c r="N77" s="22"/>
      <c r="O77" s="22"/>
      <c r="P77" s="22"/>
      <c r="Q77" s="19">
        <v>511.0</v>
      </c>
      <c r="R77" s="22"/>
      <c r="S77" s="22"/>
      <c r="T77" s="19">
        <v>1643.0</v>
      </c>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5"/>
    </row>
    <row r="78">
      <c r="A78" s="16" t="s">
        <v>105</v>
      </c>
      <c r="B78" s="27" t="s">
        <v>101</v>
      </c>
      <c r="C78" s="16" t="s">
        <v>87</v>
      </c>
      <c r="D78" s="16">
        <v>4.0</v>
      </c>
      <c r="E78" s="18">
        <v>3.0</v>
      </c>
      <c r="F78" s="18">
        <v>103.0</v>
      </c>
      <c r="G78" s="16" t="s">
        <v>85</v>
      </c>
      <c r="H78" s="16" t="s">
        <v>85</v>
      </c>
      <c r="I78" s="16" t="s">
        <v>85</v>
      </c>
      <c r="J78" s="16" t="s">
        <v>85</v>
      </c>
      <c r="K78" s="16" t="s">
        <v>85</v>
      </c>
      <c r="L78" s="16" t="s">
        <v>85</v>
      </c>
      <c r="M78" s="16" t="s">
        <v>85</v>
      </c>
      <c r="N78" s="16" t="s">
        <v>85</v>
      </c>
      <c r="O78" s="16" t="s">
        <v>85</v>
      </c>
      <c r="P78" s="16" t="s">
        <v>85</v>
      </c>
      <c r="Q78" s="19">
        <v>93.0</v>
      </c>
      <c r="R78" s="16" t="s">
        <v>85</v>
      </c>
      <c r="S78" s="16" t="s">
        <v>85</v>
      </c>
      <c r="T78" s="18">
        <v>340.0</v>
      </c>
      <c r="U78" s="16" t="s">
        <v>85</v>
      </c>
      <c r="V78" s="16" t="s">
        <v>85</v>
      </c>
      <c r="W78" s="16" t="s">
        <v>85</v>
      </c>
      <c r="X78" s="16" t="s">
        <v>85</v>
      </c>
      <c r="Y78" s="16" t="s">
        <v>85</v>
      </c>
      <c r="Z78" s="16" t="s">
        <v>85</v>
      </c>
      <c r="AA78" s="16" t="s">
        <v>85</v>
      </c>
      <c r="AB78" s="16" t="s">
        <v>85</v>
      </c>
      <c r="AC78" s="16" t="s">
        <v>85</v>
      </c>
      <c r="AD78" s="16" t="s">
        <v>85</v>
      </c>
      <c r="AE78" s="16" t="s">
        <v>106</v>
      </c>
      <c r="AF78" s="16" t="s">
        <v>89</v>
      </c>
      <c r="AG78" s="16" t="s">
        <v>95</v>
      </c>
      <c r="AH78" s="16" t="s">
        <v>85</v>
      </c>
      <c r="AI78" s="16">
        <v>6.0</v>
      </c>
      <c r="AJ78" s="16" t="s">
        <v>85</v>
      </c>
      <c r="AK78" s="16" t="s">
        <v>85</v>
      </c>
      <c r="AL78" s="16" t="s">
        <v>85</v>
      </c>
      <c r="AM78" s="16" t="s">
        <v>85</v>
      </c>
      <c r="AN78" s="16" t="s">
        <v>85</v>
      </c>
      <c r="AO78" s="16" t="s">
        <v>85</v>
      </c>
      <c r="AP78" s="16" t="s">
        <v>85</v>
      </c>
      <c r="AQ78" s="16" t="s">
        <v>85</v>
      </c>
      <c r="AR78" s="16" t="s">
        <v>85</v>
      </c>
      <c r="AS78" s="16" t="s">
        <v>85</v>
      </c>
      <c r="AT78" s="16" t="s">
        <v>85</v>
      </c>
      <c r="AU78" s="16" t="s">
        <v>85</v>
      </c>
      <c r="AV78" s="16" t="s">
        <v>85</v>
      </c>
      <c r="AW78" s="16" t="s">
        <v>85</v>
      </c>
      <c r="AX78" s="16" t="s">
        <v>85</v>
      </c>
      <c r="AY78" s="16" t="s">
        <v>85</v>
      </c>
      <c r="AZ78" s="16" t="s">
        <v>85</v>
      </c>
      <c r="BA78" s="16" t="s">
        <v>85</v>
      </c>
      <c r="BB78" s="16" t="s">
        <v>85</v>
      </c>
      <c r="BC78" s="16" t="s">
        <v>85</v>
      </c>
      <c r="BD78" s="16" t="s">
        <v>85</v>
      </c>
      <c r="BE78" s="16" t="s">
        <v>85</v>
      </c>
      <c r="BF78" s="16" t="s">
        <v>85</v>
      </c>
      <c r="BG78" s="16" t="s">
        <v>85</v>
      </c>
      <c r="BH78" s="16" t="s">
        <v>85</v>
      </c>
      <c r="BI78" s="16" t="s">
        <v>85</v>
      </c>
      <c r="BJ78" s="16" t="s">
        <v>85</v>
      </c>
      <c r="BK78" s="20"/>
    </row>
    <row r="79">
      <c r="A79" s="21"/>
      <c r="B79" s="21"/>
      <c r="C79" s="21"/>
      <c r="D79" s="21"/>
      <c r="E79" s="18">
        <v>4.0</v>
      </c>
      <c r="F79" s="19">
        <v>113.0</v>
      </c>
      <c r="G79" s="21"/>
      <c r="H79" s="21"/>
      <c r="I79" s="21"/>
      <c r="J79" s="21"/>
      <c r="K79" s="21"/>
      <c r="L79" s="21"/>
      <c r="M79" s="21"/>
      <c r="N79" s="21"/>
      <c r="O79" s="21"/>
      <c r="P79" s="21"/>
      <c r="Q79" s="19">
        <v>102.0</v>
      </c>
      <c r="R79" s="21"/>
      <c r="S79" s="21"/>
      <c r="T79" s="18">
        <v>374.0</v>
      </c>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0"/>
    </row>
    <row r="80">
      <c r="A80" s="21"/>
      <c r="B80" s="21"/>
      <c r="C80" s="21"/>
      <c r="D80" s="21"/>
      <c r="E80" s="18">
        <v>5.0</v>
      </c>
      <c r="F80" s="19">
        <v>124.0</v>
      </c>
      <c r="G80" s="21"/>
      <c r="H80" s="21"/>
      <c r="I80" s="21"/>
      <c r="J80" s="21"/>
      <c r="K80" s="21"/>
      <c r="L80" s="21"/>
      <c r="M80" s="21"/>
      <c r="N80" s="21"/>
      <c r="O80" s="21"/>
      <c r="P80" s="21"/>
      <c r="Q80" s="19">
        <v>112.0</v>
      </c>
      <c r="R80" s="21"/>
      <c r="S80" s="21"/>
      <c r="T80" s="18">
        <v>411.0</v>
      </c>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0"/>
    </row>
    <row r="81">
      <c r="A81" s="21"/>
      <c r="B81" s="21"/>
      <c r="C81" s="21"/>
      <c r="D81" s="21"/>
      <c r="E81" s="18">
        <v>6.0</v>
      </c>
      <c r="F81" s="19">
        <v>136.0</v>
      </c>
      <c r="G81" s="21"/>
      <c r="H81" s="21"/>
      <c r="I81" s="21"/>
      <c r="J81" s="21"/>
      <c r="K81" s="21"/>
      <c r="L81" s="21"/>
      <c r="M81" s="21"/>
      <c r="N81" s="21"/>
      <c r="O81" s="21"/>
      <c r="P81" s="21"/>
      <c r="Q81" s="19">
        <v>123.0</v>
      </c>
      <c r="R81" s="21"/>
      <c r="S81" s="21"/>
      <c r="T81" s="18">
        <v>452.0</v>
      </c>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0"/>
    </row>
    <row r="82">
      <c r="A82" s="21"/>
      <c r="B82" s="21"/>
      <c r="C82" s="21"/>
      <c r="D82" s="21"/>
      <c r="E82" s="18">
        <v>7.0</v>
      </c>
      <c r="F82" s="19">
        <v>150.0</v>
      </c>
      <c r="G82" s="21"/>
      <c r="H82" s="21"/>
      <c r="I82" s="21"/>
      <c r="J82" s="21"/>
      <c r="K82" s="21"/>
      <c r="L82" s="21"/>
      <c r="M82" s="21"/>
      <c r="N82" s="21"/>
      <c r="O82" s="21"/>
      <c r="P82" s="21"/>
      <c r="Q82" s="19">
        <v>136.0</v>
      </c>
      <c r="R82" s="21"/>
      <c r="S82" s="21"/>
      <c r="T82" s="18">
        <v>496.0</v>
      </c>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0"/>
    </row>
    <row r="83">
      <c r="A83" s="21"/>
      <c r="B83" s="21"/>
      <c r="C83" s="21"/>
      <c r="D83" s="21"/>
      <c r="E83" s="18">
        <v>8.0</v>
      </c>
      <c r="F83" s="19">
        <v>164.0</v>
      </c>
      <c r="G83" s="21"/>
      <c r="H83" s="21"/>
      <c r="I83" s="21"/>
      <c r="J83" s="21"/>
      <c r="K83" s="21"/>
      <c r="L83" s="21"/>
      <c r="M83" s="21"/>
      <c r="N83" s="21"/>
      <c r="O83" s="21"/>
      <c r="P83" s="21"/>
      <c r="Q83" s="19">
        <v>149.0</v>
      </c>
      <c r="R83" s="21"/>
      <c r="S83" s="21"/>
      <c r="T83" s="18">
        <v>544.0</v>
      </c>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0"/>
    </row>
    <row r="84">
      <c r="A84" s="21"/>
      <c r="B84" s="21"/>
      <c r="C84" s="21"/>
      <c r="D84" s="21"/>
      <c r="E84" s="18">
        <v>9.0</v>
      </c>
      <c r="F84" s="19">
        <v>181.0</v>
      </c>
      <c r="G84" s="21"/>
      <c r="H84" s="21"/>
      <c r="I84" s="21"/>
      <c r="J84" s="21"/>
      <c r="K84" s="21"/>
      <c r="L84" s="21"/>
      <c r="M84" s="21"/>
      <c r="N84" s="21"/>
      <c r="O84" s="21"/>
      <c r="P84" s="21"/>
      <c r="Q84" s="19">
        <v>164.0</v>
      </c>
      <c r="R84" s="21"/>
      <c r="S84" s="21"/>
      <c r="T84" s="18">
        <v>598.0</v>
      </c>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0"/>
    </row>
    <row r="85">
      <c r="A85" s="21"/>
      <c r="B85" s="21"/>
      <c r="C85" s="21"/>
      <c r="D85" s="21"/>
      <c r="E85" s="18">
        <v>10.0</v>
      </c>
      <c r="F85" s="19">
        <v>198.0</v>
      </c>
      <c r="G85" s="21"/>
      <c r="H85" s="21"/>
      <c r="I85" s="21"/>
      <c r="J85" s="21"/>
      <c r="K85" s="21"/>
      <c r="L85" s="21"/>
      <c r="M85" s="21"/>
      <c r="N85" s="21"/>
      <c r="O85" s="21"/>
      <c r="P85" s="21"/>
      <c r="Q85" s="19">
        <v>180.0</v>
      </c>
      <c r="R85" s="21"/>
      <c r="S85" s="21"/>
      <c r="T85" s="18">
        <v>656.0</v>
      </c>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0"/>
    </row>
    <row r="86">
      <c r="A86" s="21"/>
      <c r="B86" s="21"/>
      <c r="C86" s="21"/>
      <c r="D86" s="21"/>
      <c r="E86" s="18">
        <v>11.0</v>
      </c>
      <c r="F86" s="19">
        <v>218.0</v>
      </c>
      <c r="G86" s="21"/>
      <c r="H86" s="21"/>
      <c r="I86" s="21"/>
      <c r="J86" s="21"/>
      <c r="K86" s="21"/>
      <c r="L86" s="21"/>
      <c r="M86" s="21"/>
      <c r="N86" s="21"/>
      <c r="O86" s="21"/>
      <c r="P86" s="21"/>
      <c r="Q86" s="19">
        <v>198.0</v>
      </c>
      <c r="R86" s="21"/>
      <c r="S86" s="21"/>
      <c r="T86" s="18">
        <v>720.0</v>
      </c>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0"/>
    </row>
    <row r="87">
      <c r="A87" s="21"/>
      <c r="B87" s="21"/>
      <c r="C87" s="21"/>
      <c r="D87" s="21"/>
      <c r="E87" s="18">
        <v>12.0</v>
      </c>
      <c r="F87" s="19">
        <v>239.0</v>
      </c>
      <c r="G87" s="21"/>
      <c r="H87" s="21"/>
      <c r="I87" s="21"/>
      <c r="J87" s="21"/>
      <c r="K87" s="21"/>
      <c r="L87" s="21"/>
      <c r="M87" s="21"/>
      <c r="N87" s="21"/>
      <c r="O87" s="21"/>
      <c r="P87" s="21"/>
      <c r="Q87" s="19">
        <v>217.0</v>
      </c>
      <c r="R87" s="21"/>
      <c r="S87" s="21"/>
      <c r="T87" s="18">
        <v>792.0</v>
      </c>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0"/>
    </row>
    <row r="88">
      <c r="A88" s="22"/>
      <c r="B88" s="22"/>
      <c r="C88" s="22"/>
      <c r="D88" s="22"/>
      <c r="E88" s="18">
        <v>13.0</v>
      </c>
      <c r="F88" s="19">
        <v>263.0</v>
      </c>
      <c r="G88" s="22"/>
      <c r="H88" s="22"/>
      <c r="I88" s="22"/>
      <c r="J88" s="22"/>
      <c r="K88" s="22"/>
      <c r="L88" s="22"/>
      <c r="M88" s="22"/>
      <c r="N88" s="22"/>
      <c r="O88" s="22"/>
      <c r="P88" s="22"/>
      <c r="Q88" s="19">
        <v>239.0</v>
      </c>
      <c r="R88" s="22"/>
      <c r="S88" s="22"/>
      <c r="T88" s="18">
        <v>870.0</v>
      </c>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0"/>
    </row>
    <row r="89">
      <c r="A89" s="16" t="s">
        <v>107</v>
      </c>
      <c r="B89" s="27" t="s">
        <v>101</v>
      </c>
      <c r="C89" s="16" t="s">
        <v>87</v>
      </c>
      <c r="D89" s="16">
        <v>5.0</v>
      </c>
      <c r="E89" s="18">
        <v>3.0</v>
      </c>
      <c r="F89" s="18">
        <v>120.0</v>
      </c>
      <c r="G89" s="16" t="s">
        <v>85</v>
      </c>
      <c r="H89" s="16" t="s">
        <v>85</v>
      </c>
      <c r="I89" s="16" t="s">
        <v>85</v>
      </c>
      <c r="J89" s="16" t="s">
        <v>85</v>
      </c>
      <c r="K89" s="16" t="s">
        <v>85</v>
      </c>
      <c r="L89" s="16" t="s">
        <v>85</v>
      </c>
      <c r="M89" s="16" t="s">
        <v>85</v>
      </c>
      <c r="N89" s="16" t="s">
        <v>85</v>
      </c>
      <c r="O89" s="16" t="s">
        <v>85</v>
      </c>
      <c r="P89" s="16" t="s">
        <v>85</v>
      </c>
      <c r="Q89" s="18">
        <v>80.0</v>
      </c>
      <c r="R89" s="16" t="s">
        <v>85</v>
      </c>
      <c r="S89" s="16" t="s">
        <v>85</v>
      </c>
      <c r="T89" s="18">
        <v>1861.0</v>
      </c>
      <c r="U89" s="16" t="s">
        <v>85</v>
      </c>
      <c r="V89" s="16" t="s">
        <v>85</v>
      </c>
      <c r="W89" s="16" t="s">
        <v>85</v>
      </c>
      <c r="X89" s="16" t="s">
        <v>85</v>
      </c>
      <c r="Y89" s="16" t="s">
        <v>85</v>
      </c>
      <c r="Z89" s="16" t="s">
        <v>85</v>
      </c>
      <c r="AA89" s="16" t="s">
        <v>85</v>
      </c>
      <c r="AB89" s="16" t="s">
        <v>85</v>
      </c>
      <c r="AC89" s="16" t="s">
        <v>85</v>
      </c>
      <c r="AD89" s="16" t="s">
        <v>85</v>
      </c>
      <c r="AE89" s="16" t="s">
        <v>108</v>
      </c>
      <c r="AF89" s="16" t="s">
        <v>109</v>
      </c>
      <c r="AG89" s="16" t="s">
        <v>110</v>
      </c>
      <c r="AH89" s="16" t="s">
        <v>85</v>
      </c>
      <c r="AI89" s="16" t="s">
        <v>99</v>
      </c>
      <c r="AJ89" s="16" t="s">
        <v>85</v>
      </c>
      <c r="AK89" s="16" t="s">
        <v>85</v>
      </c>
      <c r="AL89" s="16" t="s">
        <v>85</v>
      </c>
      <c r="AM89" s="16" t="s">
        <v>85</v>
      </c>
      <c r="AN89" s="16" t="s">
        <v>85</v>
      </c>
      <c r="AO89" s="16" t="s">
        <v>85</v>
      </c>
      <c r="AP89" s="16" t="s">
        <v>85</v>
      </c>
      <c r="AQ89" s="16" t="s">
        <v>85</v>
      </c>
      <c r="AR89" s="16" t="s">
        <v>85</v>
      </c>
      <c r="AS89" s="16" t="s">
        <v>85</v>
      </c>
      <c r="AT89" s="16" t="s">
        <v>85</v>
      </c>
      <c r="AU89" s="16" t="s">
        <v>85</v>
      </c>
      <c r="AV89" s="16" t="s">
        <v>85</v>
      </c>
      <c r="AW89" s="16" t="s">
        <v>85</v>
      </c>
      <c r="AX89" s="16" t="s">
        <v>85</v>
      </c>
      <c r="AY89" s="16" t="s">
        <v>85</v>
      </c>
      <c r="AZ89" s="16" t="s">
        <v>85</v>
      </c>
      <c r="BA89" s="16" t="s">
        <v>85</v>
      </c>
      <c r="BB89" s="16" t="s">
        <v>85</v>
      </c>
      <c r="BC89" s="16" t="s">
        <v>85</v>
      </c>
      <c r="BD89" s="16" t="s">
        <v>85</v>
      </c>
      <c r="BE89" s="16" t="s">
        <v>85</v>
      </c>
      <c r="BF89" s="16" t="s">
        <v>85</v>
      </c>
      <c r="BG89" s="16" t="s">
        <v>85</v>
      </c>
      <c r="BH89" s="16" t="s">
        <v>85</v>
      </c>
      <c r="BI89" s="16" t="s">
        <v>85</v>
      </c>
      <c r="BJ89" s="16" t="s">
        <v>85</v>
      </c>
      <c r="BK89" s="25"/>
    </row>
    <row r="90">
      <c r="A90" s="21"/>
      <c r="B90" s="21"/>
      <c r="C90" s="21"/>
      <c r="D90" s="21"/>
      <c r="E90" s="18">
        <v>4.0</v>
      </c>
      <c r="F90" s="18">
        <v>132.0</v>
      </c>
      <c r="G90" s="21"/>
      <c r="H90" s="21"/>
      <c r="I90" s="21"/>
      <c r="J90" s="21"/>
      <c r="K90" s="21"/>
      <c r="L90" s="21"/>
      <c r="M90" s="21"/>
      <c r="N90" s="21"/>
      <c r="O90" s="21"/>
      <c r="P90" s="21"/>
      <c r="Q90" s="18">
        <v>88.0</v>
      </c>
      <c r="R90" s="21"/>
      <c r="S90" s="21"/>
      <c r="T90" s="19">
        <v>2047.0</v>
      </c>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5"/>
    </row>
    <row r="91">
      <c r="A91" s="21"/>
      <c r="B91" s="21"/>
      <c r="C91" s="21"/>
      <c r="D91" s="21"/>
      <c r="E91" s="18">
        <v>5.0</v>
      </c>
      <c r="F91" s="18">
        <v>145.0</v>
      </c>
      <c r="G91" s="21"/>
      <c r="H91" s="21"/>
      <c r="I91" s="21"/>
      <c r="J91" s="21"/>
      <c r="K91" s="21"/>
      <c r="L91" s="21"/>
      <c r="M91" s="21"/>
      <c r="N91" s="21"/>
      <c r="O91" s="21"/>
      <c r="P91" s="21"/>
      <c r="Q91" s="18">
        <v>96.0</v>
      </c>
      <c r="R91" s="21"/>
      <c r="S91" s="21"/>
      <c r="T91" s="19">
        <v>2251.0</v>
      </c>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5"/>
    </row>
    <row r="92">
      <c r="A92" s="21"/>
      <c r="B92" s="21"/>
      <c r="C92" s="21"/>
      <c r="D92" s="21"/>
      <c r="E92" s="18">
        <v>6.0</v>
      </c>
      <c r="F92" s="18">
        <v>159.0</v>
      </c>
      <c r="G92" s="21"/>
      <c r="H92" s="21"/>
      <c r="I92" s="21"/>
      <c r="J92" s="21"/>
      <c r="K92" s="21"/>
      <c r="L92" s="21"/>
      <c r="M92" s="21"/>
      <c r="N92" s="21"/>
      <c r="O92" s="21"/>
      <c r="P92" s="21"/>
      <c r="Q92" s="18">
        <v>106.0</v>
      </c>
      <c r="R92" s="21"/>
      <c r="S92" s="21"/>
      <c r="T92" s="19">
        <v>2475.0</v>
      </c>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5"/>
    </row>
    <row r="93">
      <c r="A93" s="21"/>
      <c r="B93" s="21"/>
      <c r="C93" s="21"/>
      <c r="D93" s="21"/>
      <c r="E93" s="18">
        <v>7.0</v>
      </c>
      <c r="F93" s="18">
        <v>175.0</v>
      </c>
      <c r="G93" s="21"/>
      <c r="H93" s="21"/>
      <c r="I93" s="21"/>
      <c r="J93" s="21"/>
      <c r="K93" s="21"/>
      <c r="L93" s="21"/>
      <c r="M93" s="21"/>
      <c r="N93" s="21"/>
      <c r="O93" s="21"/>
      <c r="P93" s="21"/>
      <c r="Q93" s="18">
        <v>116.0</v>
      </c>
      <c r="R93" s="21"/>
      <c r="S93" s="21"/>
      <c r="T93" s="19">
        <v>2717.0</v>
      </c>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5"/>
    </row>
    <row r="94">
      <c r="A94" s="21"/>
      <c r="B94" s="21"/>
      <c r="C94" s="21"/>
      <c r="D94" s="21"/>
      <c r="E94" s="18">
        <v>8.0</v>
      </c>
      <c r="F94" s="18">
        <v>192.0</v>
      </c>
      <c r="G94" s="21"/>
      <c r="H94" s="21"/>
      <c r="I94" s="21"/>
      <c r="J94" s="21"/>
      <c r="K94" s="21"/>
      <c r="L94" s="21"/>
      <c r="M94" s="21"/>
      <c r="N94" s="21"/>
      <c r="O94" s="21"/>
      <c r="P94" s="21"/>
      <c r="Q94" s="18">
        <v>128.0</v>
      </c>
      <c r="R94" s="21"/>
      <c r="S94" s="21"/>
      <c r="T94" s="19">
        <v>2977.0</v>
      </c>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5"/>
    </row>
    <row r="95">
      <c r="A95" s="21"/>
      <c r="B95" s="21"/>
      <c r="C95" s="21"/>
      <c r="D95" s="21"/>
      <c r="E95" s="18">
        <v>9.0</v>
      </c>
      <c r="F95" s="18">
        <v>211.0</v>
      </c>
      <c r="G95" s="21"/>
      <c r="H95" s="21"/>
      <c r="I95" s="21"/>
      <c r="J95" s="21"/>
      <c r="K95" s="21"/>
      <c r="L95" s="21"/>
      <c r="M95" s="21"/>
      <c r="N95" s="21"/>
      <c r="O95" s="21"/>
      <c r="P95" s="21"/>
      <c r="Q95" s="18">
        <v>140.0</v>
      </c>
      <c r="R95" s="21"/>
      <c r="S95" s="21"/>
      <c r="T95" s="19">
        <v>3275.0</v>
      </c>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5"/>
    </row>
    <row r="96">
      <c r="A96" s="21"/>
      <c r="B96" s="21"/>
      <c r="C96" s="21"/>
      <c r="D96" s="21"/>
      <c r="E96" s="18">
        <v>10.0</v>
      </c>
      <c r="F96" s="18">
        <v>231.0</v>
      </c>
      <c r="G96" s="21"/>
      <c r="H96" s="21"/>
      <c r="I96" s="21"/>
      <c r="J96" s="21"/>
      <c r="K96" s="21"/>
      <c r="L96" s="21"/>
      <c r="M96" s="21"/>
      <c r="N96" s="21"/>
      <c r="O96" s="21"/>
      <c r="P96" s="21"/>
      <c r="Q96" s="18">
        <v>154.0</v>
      </c>
      <c r="R96" s="21"/>
      <c r="S96" s="21"/>
      <c r="T96" s="19">
        <v>3591.0</v>
      </c>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5"/>
    </row>
    <row r="97">
      <c r="A97" s="21"/>
      <c r="B97" s="21"/>
      <c r="C97" s="21"/>
      <c r="D97" s="21"/>
      <c r="E97" s="18">
        <v>11.0</v>
      </c>
      <c r="F97" s="18">
        <v>254.0</v>
      </c>
      <c r="G97" s="21"/>
      <c r="H97" s="21"/>
      <c r="I97" s="21"/>
      <c r="J97" s="21"/>
      <c r="K97" s="21"/>
      <c r="L97" s="21"/>
      <c r="M97" s="21"/>
      <c r="N97" s="21"/>
      <c r="O97" s="21"/>
      <c r="P97" s="21"/>
      <c r="Q97" s="18">
        <v>169.0</v>
      </c>
      <c r="R97" s="21"/>
      <c r="S97" s="21"/>
      <c r="T97" s="19">
        <v>3945.0</v>
      </c>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5"/>
    </row>
    <row r="98">
      <c r="A98" s="21"/>
      <c r="B98" s="21"/>
      <c r="C98" s="21"/>
      <c r="D98" s="21"/>
      <c r="E98" s="18">
        <v>12.0</v>
      </c>
      <c r="F98" s="18">
        <v>279.0</v>
      </c>
      <c r="G98" s="21"/>
      <c r="H98" s="21"/>
      <c r="I98" s="21"/>
      <c r="J98" s="21"/>
      <c r="K98" s="21"/>
      <c r="L98" s="21"/>
      <c r="M98" s="21"/>
      <c r="N98" s="21"/>
      <c r="O98" s="21"/>
      <c r="P98" s="21"/>
      <c r="Q98" s="18">
        <v>186.0</v>
      </c>
      <c r="R98" s="21"/>
      <c r="S98" s="21"/>
      <c r="T98" s="19">
        <v>4336.0</v>
      </c>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5"/>
    </row>
    <row r="99">
      <c r="A99" s="22"/>
      <c r="B99" s="22"/>
      <c r="C99" s="22"/>
      <c r="D99" s="22"/>
      <c r="E99" s="18">
        <v>13.0</v>
      </c>
      <c r="F99" s="18">
        <v>307.0</v>
      </c>
      <c r="G99" s="22"/>
      <c r="H99" s="22"/>
      <c r="I99" s="22"/>
      <c r="J99" s="22"/>
      <c r="K99" s="22"/>
      <c r="L99" s="22"/>
      <c r="M99" s="22"/>
      <c r="N99" s="22"/>
      <c r="O99" s="22"/>
      <c r="P99" s="22"/>
      <c r="Q99" s="18">
        <v>204.0</v>
      </c>
      <c r="R99" s="22"/>
      <c r="S99" s="22"/>
      <c r="T99" s="19">
        <v>4764.0</v>
      </c>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5"/>
    </row>
    <row r="100">
      <c r="A100" s="12" t="s">
        <v>111</v>
      </c>
      <c r="B100" s="13" t="s">
        <v>112</v>
      </c>
      <c r="C100" s="14"/>
      <c r="D100" s="14"/>
      <c r="E100" s="15"/>
      <c r="F100" s="28"/>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5"/>
      <c r="BK100" s="10"/>
    </row>
    <row r="101">
      <c r="A101" s="16" t="s">
        <v>113</v>
      </c>
      <c r="B101" s="17" t="s">
        <v>83</v>
      </c>
      <c r="C101" s="16" t="s">
        <v>87</v>
      </c>
      <c r="D101" s="16">
        <v>2.0</v>
      </c>
      <c r="E101" s="18">
        <v>1.0</v>
      </c>
      <c r="F101" s="18">
        <v>32.0</v>
      </c>
      <c r="G101" s="16" t="s">
        <v>85</v>
      </c>
      <c r="H101" s="16" t="s">
        <v>85</v>
      </c>
      <c r="I101" s="16" t="s">
        <v>85</v>
      </c>
      <c r="J101" s="16" t="s">
        <v>85</v>
      </c>
      <c r="K101" s="16" t="s">
        <v>85</v>
      </c>
      <c r="L101" s="16" t="s">
        <v>85</v>
      </c>
      <c r="M101" s="16" t="s">
        <v>85</v>
      </c>
      <c r="N101" s="16" t="s">
        <v>85</v>
      </c>
      <c r="O101" s="16" t="s">
        <v>85</v>
      </c>
      <c r="P101" s="16" t="s">
        <v>85</v>
      </c>
      <c r="Q101" s="19">
        <v>18.0</v>
      </c>
      <c r="R101" s="16" t="s">
        <v>85</v>
      </c>
      <c r="S101" s="16" t="s">
        <v>85</v>
      </c>
      <c r="T101" s="18">
        <v>52.0</v>
      </c>
      <c r="U101" s="16" t="s">
        <v>85</v>
      </c>
      <c r="V101" s="16" t="s">
        <v>85</v>
      </c>
      <c r="W101" s="16" t="s">
        <v>85</v>
      </c>
      <c r="X101" s="16" t="s">
        <v>85</v>
      </c>
      <c r="Y101" s="16" t="s">
        <v>85</v>
      </c>
      <c r="Z101" s="16" t="s">
        <v>85</v>
      </c>
      <c r="AA101" s="16" t="s">
        <v>85</v>
      </c>
      <c r="AB101" s="16" t="s">
        <v>85</v>
      </c>
      <c r="AC101" s="16" t="s">
        <v>85</v>
      </c>
      <c r="AD101" s="16" t="s">
        <v>85</v>
      </c>
      <c r="AE101" s="16" t="s">
        <v>103</v>
      </c>
      <c r="AF101" s="16" t="s">
        <v>89</v>
      </c>
      <c r="AG101" s="16" t="s">
        <v>114</v>
      </c>
      <c r="AH101" s="16" t="s">
        <v>85</v>
      </c>
      <c r="AI101" s="16">
        <v>5.0</v>
      </c>
      <c r="AJ101" s="16" t="s">
        <v>85</v>
      </c>
      <c r="AK101" s="16" t="s">
        <v>85</v>
      </c>
      <c r="AL101" s="16" t="s">
        <v>85</v>
      </c>
      <c r="AM101" s="16" t="s">
        <v>92</v>
      </c>
      <c r="AN101" s="16" t="s">
        <v>85</v>
      </c>
      <c r="AO101" s="16" t="s">
        <v>85</v>
      </c>
      <c r="AP101" s="16" t="s">
        <v>85</v>
      </c>
      <c r="AQ101" s="16" t="s">
        <v>85</v>
      </c>
      <c r="AR101" s="16" t="s">
        <v>85</v>
      </c>
      <c r="AS101" s="16" t="s">
        <v>85</v>
      </c>
      <c r="AT101" s="16" t="s">
        <v>85</v>
      </c>
      <c r="AU101" s="16" t="s">
        <v>85</v>
      </c>
      <c r="AV101" s="16" t="s">
        <v>85</v>
      </c>
      <c r="AW101" s="16" t="s">
        <v>85</v>
      </c>
      <c r="AX101" s="16" t="s">
        <v>85</v>
      </c>
      <c r="AY101" s="16" t="s">
        <v>85</v>
      </c>
      <c r="AZ101" s="16" t="s">
        <v>85</v>
      </c>
      <c r="BA101" s="16" t="s">
        <v>85</v>
      </c>
      <c r="BB101" s="16" t="s">
        <v>85</v>
      </c>
      <c r="BC101" s="16" t="s">
        <v>85</v>
      </c>
      <c r="BD101" s="16" t="s">
        <v>85</v>
      </c>
      <c r="BE101" s="16" t="s">
        <v>85</v>
      </c>
      <c r="BF101" s="16" t="s">
        <v>85</v>
      </c>
      <c r="BG101" s="16" t="s">
        <v>85</v>
      </c>
      <c r="BH101" s="16" t="s">
        <v>85</v>
      </c>
      <c r="BI101" s="16" t="s">
        <v>85</v>
      </c>
      <c r="BJ101" s="16" t="s">
        <v>85</v>
      </c>
      <c r="BK101" s="24"/>
    </row>
    <row r="102">
      <c r="A102" s="21"/>
      <c r="B102" s="21"/>
      <c r="C102" s="21"/>
      <c r="D102" s="21"/>
      <c r="E102" s="18">
        <v>2.0</v>
      </c>
      <c r="F102" s="18">
        <v>35.0</v>
      </c>
      <c r="G102" s="21"/>
      <c r="H102" s="21"/>
      <c r="I102" s="21"/>
      <c r="J102" s="21"/>
      <c r="K102" s="21"/>
      <c r="L102" s="21"/>
      <c r="M102" s="21"/>
      <c r="N102" s="21"/>
      <c r="O102" s="21"/>
      <c r="P102" s="21"/>
      <c r="Q102" s="19">
        <v>20.0</v>
      </c>
      <c r="R102" s="21"/>
      <c r="S102" s="21"/>
      <c r="T102" s="18">
        <v>57.0</v>
      </c>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4"/>
    </row>
    <row r="103">
      <c r="A103" s="21"/>
      <c r="B103" s="21"/>
      <c r="C103" s="21"/>
      <c r="D103" s="21"/>
      <c r="E103" s="18">
        <v>3.0</v>
      </c>
      <c r="F103" s="18">
        <v>38.0</v>
      </c>
      <c r="G103" s="21"/>
      <c r="H103" s="21"/>
      <c r="I103" s="21"/>
      <c r="J103" s="21"/>
      <c r="K103" s="21"/>
      <c r="L103" s="21"/>
      <c r="M103" s="21"/>
      <c r="N103" s="21"/>
      <c r="O103" s="21"/>
      <c r="P103" s="21"/>
      <c r="Q103" s="19">
        <v>22.0</v>
      </c>
      <c r="R103" s="21"/>
      <c r="S103" s="21"/>
      <c r="T103" s="18">
        <v>62.0</v>
      </c>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4"/>
    </row>
    <row r="104">
      <c r="A104" s="21"/>
      <c r="B104" s="21"/>
      <c r="C104" s="21"/>
      <c r="D104" s="21"/>
      <c r="E104" s="18">
        <v>4.0</v>
      </c>
      <c r="F104" s="18">
        <v>42.0</v>
      </c>
      <c r="G104" s="21"/>
      <c r="H104" s="21"/>
      <c r="I104" s="21"/>
      <c r="J104" s="21"/>
      <c r="K104" s="21"/>
      <c r="L104" s="21"/>
      <c r="M104" s="21"/>
      <c r="N104" s="21"/>
      <c r="O104" s="21"/>
      <c r="P104" s="21"/>
      <c r="Q104" s="19">
        <v>24.0</v>
      </c>
      <c r="R104" s="21"/>
      <c r="S104" s="21"/>
      <c r="T104" s="18">
        <v>69.0</v>
      </c>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4"/>
    </row>
    <row r="105">
      <c r="A105" s="21"/>
      <c r="B105" s="21"/>
      <c r="C105" s="21"/>
      <c r="D105" s="21"/>
      <c r="E105" s="18">
        <v>5.0</v>
      </c>
      <c r="F105" s="18">
        <v>46.0</v>
      </c>
      <c r="G105" s="21"/>
      <c r="H105" s="21"/>
      <c r="I105" s="21"/>
      <c r="J105" s="21"/>
      <c r="K105" s="21"/>
      <c r="L105" s="21"/>
      <c r="M105" s="21"/>
      <c r="N105" s="21"/>
      <c r="O105" s="21"/>
      <c r="P105" s="21"/>
      <c r="Q105" s="19">
        <v>27.0</v>
      </c>
      <c r="R105" s="21"/>
      <c r="S105" s="21"/>
      <c r="T105" s="18">
        <v>75.0</v>
      </c>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4"/>
    </row>
    <row r="106">
      <c r="A106" s="21"/>
      <c r="B106" s="21"/>
      <c r="C106" s="21"/>
      <c r="D106" s="21"/>
      <c r="E106" s="18">
        <v>6.0</v>
      </c>
      <c r="F106" s="18">
        <v>51.0</v>
      </c>
      <c r="G106" s="21"/>
      <c r="H106" s="21"/>
      <c r="I106" s="21"/>
      <c r="J106" s="21"/>
      <c r="K106" s="21"/>
      <c r="L106" s="21"/>
      <c r="M106" s="21"/>
      <c r="N106" s="21"/>
      <c r="O106" s="21"/>
      <c r="P106" s="21"/>
      <c r="Q106" s="19">
        <v>30.0</v>
      </c>
      <c r="R106" s="21"/>
      <c r="S106" s="21"/>
      <c r="T106" s="18">
        <v>83.0</v>
      </c>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4"/>
    </row>
    <row r="107">
      <c r="A107" s="21"/>
      <c r="B107" s="21"/>
      <c r="C107" s="21"/>
      <c r="D107" s="21"/>
      <c r="E107" s="18">
        <v>7.0</v>
      </c>
      <c r="F107" s="18">
        <v>56.0</v>
      </c>
      <c r="G107" s="21"/>
      <c r="H107" s="21"/>
      <c r="I107" s="21"/>
      <c r="J107" s="21"/>
      <c r="K107" s="21"/>
      <c r="L107" s="21"/>
      <c r="M107" s="21"/>
      <c r="N107" s="21"/>
      <c r="O107" s="21"/>
      <c r="P107" s="21"/>
      <c r="Q107" s="19">
        <v>32.0</v>
      </c>
      <c r="R107" s="21"/>
      <c r="S107" s="21"/>
      <c r="T107" s="18">
        <v>91.0</v>
      </c>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4"/>
    </row>
    <row r="108">
      <c r="A108" s="21"/>
      <c r="B108" s="21"/>
      <c r="C108" s="21"/>
      <c r="D108" s="21"/>
      <c r="E108" s="18">
        <v>8.0</v>
      </c>
      <c r="F108" s="18">
        <v>61.0</v>
      </c>
      <c r="G108" s="21"/>
      <c r="H108" s="21"/>
      <c r="I108" s="21"/>
      <c r="J108" s="21"/>
      <c r="K108" s="21"/>
      <c r="L108" s="21"/>
      <c r="M108" s="21"/>
      <c r="N108" s="21"/>
      <c r="O108" s="21"/>
      <c r="P108" s="21"/>
      <c r="Q108" s="19">
        <v>35.0</v>
      </c>
      <c r="R108" s="21"/>
      <c r="S108" s="21"/>
      <c r="T108" s="18">
        <v>100.0</v>
      </c>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4"/>
    </row>
    <row r="109">
      <c r="A109" s="21"/>
      <c r="B109" s="21"/>
      <c r="C109" s="21"/>
      <c r="D109" s="21"/>
      <c r="E109" s="18">
        <v>9.0</v>
      </c>
      <c r="F109" s="18">
        <v>67.0</v>
      </c>
      <c r="G109" s="21"/>
      <c r="H109" s="21"/>
      <c r="I109" s="21"/>
      <c r="J109" s="21"/>
      <c r="K109" s="21"/>
      <c r="L109" s="21"/>
      <c r="M109" s="21"/>
      <c r="N109" s="21"/>
      <c r="O109" s="21"/>
      <c r="P109" s="21"/>
      <c r="Q109" s="19">
        <v>39.0</v>
      </c>
      <c r="R109" s="21"/>
      <c r="S109" s="21"/>
      <c r="T109" s="18">
        <v>110.0</v>
      </c>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4"/>
    </row>
    <row r="110">
      <c r="A110" s="21"/>
      <c r="B110" s="21"/>
      <c r="C110" s="21"/>
      <c r="D110" s="21"/>
      <c r="E110" s="18">
        <v>10.0</v>
      </c>
      <c r="F110" s="18">
        <v>74.0</v>
      </c>
      <c r="G110" s="21"/>
      <c r="H110" s="21"/>
      <c r="I110" s="21"/>
      <c r="J110" s="21"/>
      <c r="K110" s="21"/>
      <c r="L110" s="21"/>
      <c r="M110" s="21"/>
      <c r="N110" s="21"/>
      <c r="O110" s="21"/>
      <c r="P110" s="21"/>
      <c r="Q110" s="19">
        <v>43.0</v>
      </c>
      <c r="R110" s="21"/>
      <c r="S110" s="21"/>
      <c r="T110" s="18">
        <v>121.0</v>
      </c>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4"/>
    </row>
    <row r="111">
      <c r="A111" s="21"/>
      <c r="B111" s="21"/>
      <c r="C111" s="21"/>
      <c r="D111" s="21"/>
      <c r="E111" s="18">
        <v>11.0</v>
      </c>
      <c r="F111" s="18">
        <v>81.0</v>
      </c>
      <c r="G111" s="21"/>
      <c r="H111" s="21"/>
      <c r="I111" s="21"/>
      <c r="J111" s="21"/>
      <c r="K111" s="21"/>
      <c r="L111" s="21"/>
      <c r="M111" s="21"/>
      <c r="N111" s="21"/>
      <c r="O111" s="21"/>
      <c r="P111" s="21"/>
      <c r="Q111" s="19">
        <v>47.0</v>
      </c>
      <c r="R111" s="21"/>
      <c r="S111" s="21"/>
      <c r="T111" s="18">
        <v>133.0</v>
      </c>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4"/>
    </row>
    <row r="112">
      <c r="A112" s="21"/>
      <c r="B112" s="21"/>
      <c r="C112" s="21"/>
      <c r="D112" s="21"/>
      <c r="E112" s="18">
        <v>12.0</v>
      </c>
      <c r="F112" s="18">
        <v>89.0</v>
      </c>
      <c r="G112" s="21"/>
      <c r="H112" s="21"/>
      <c r="I112" s="21"/>
      <c r="J112" s="21"/>
      <c r="K112" s="21"/>
      <c r="L112" s="21"/>
      <c r="M112" s="21"/>
      <c r="N112" s="21"/>
      <c r="O112" s="21"/>
      <c r="P112" s="21"/>
      <c r="Q112" s="19">
        <v>52.0</v>
      </c>
      <c r="R112" s="21"/>
      <c r="S112" s="21"/>
      <c r="T112" s="18">
        <v>146.0</v>
      </c>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4"/>
    </row>
    <row r="113">
      <c r="A113" s="22"/>
      <c r="B113" s="22"/>
      <c r="C113" s="22"/>
      <c r="D113" s="22"/>
      <c r="E113" s="18">
        <v>13.0</v>
      </c>
      <c r="F113" s="18">
        <v>98.0</v>
      </c>
      <c r="G113" s="22"/>
      <c r="H113" s="22"/>
      <c r="I113" s="22"/>
      <c r="J113" s="22"/>
      <c r="K113" s="22"/>
      <c r="L113" s="22"/>
      <c r="M113" s="22"/>
      <c r="N113" s="22"/>
      <c r="O113" s="22"/>
      <c r="P113" s="22"/>
      <c r="Q113" s="19">
        <v>57.0</v>
      </c>
      <c r="R113" s="22"/>
      <c r="S113" s="22"/>
      <c r="T113" s="18">
        <v>160.0</v>
      </c>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4"/>
    </row>
    <row r="114">
      <c r="A114" s="16" t="s">
        <v>115</v>
      </c>
      <c r="B114" s="17" t="s">
        <v>83</v>
      </c>
      <c r="C114" s="16" t="s">
        <v>87</v>
      </c>
      <c r="D114" s="16">
        <v>2.0</v>
      </c>
      <c r="E114" s="18">
        <v>1.0</v>
      </c>
      <c r="F114" s="18">
        <v>47.0</v>
      </c>
      <c r="G114" s="16" t="s">
        <v>85</v>
      </c>
      <c r="H114" s="16" t="s">
        <v>85</v>
      </c>
      <c r="I114" s="16" t="s">
        <v>85</v>
      </c>
      <c r="J114" s="16" t="s">
        <v>85</v>
      </c>
      <c r="K114" s="16" t="s">
        <v>85</v>
      </c>
      <c r="L114" s="16" t="s">
        <v>85</v>
      </c>
      <c r="M114" s="16" t="s">
        <v>85</v>
      </c>
      <c r="N114" s="16" t="s">
        <v>85</v>
      </c>
      <c r="O114" s="16" t="s">
        <v>85</v>
      </c>
      <c r="P114" s="16" t="s">
        <v>85</v>
      </c>
      <c r="Q114" s="18">
        <v>42.0</v>
      </c>
      <c r="R114" s="16" t="s">
        <v>85</v>
      </c>
      <c r="S114" s="16" t="s">
        <v>85</v>
      </c>
      <c r="T114" s="18">
        <v>79.0</v>
      </c>
      <c r="U114" s="16" t="s">
        <v>85</v>
      </c>
      <c r="V114" s="16" t="s">
        <v>85</v>
      </c>
      <c r="W114" s="16" t="s">
        <v>85</v>
      </c>
      <c r="X114" s="16" t="s">
        <v>85</v>
      </c>
      <c r="Y114" s="16" t="s">
        <v>85</v>
      </c>
      <c r="Z114" s="16" t="s">
        <v>85</v>
      </c>
      <c r="AA114" s="16" t="s">
        <v>85</v>
      </c>
      <c r="AB114" s="16" t="s">
        <v>85</v>
      </c>
      <c r="AC114" s="16" t="s">
        <v>85</v>
      </c>
      <c r="AD114" s="16" t="s">
        <v>85</v>
      </c>
      <c r="AE114" s="16" t="s">
        <v>106</v>
      </c>
      <c r="AF114" s="16" t="s">
        <v>98</v>
      </c>
      <c r="AG114" s="16" t="s">
        <v>114</v>
      </c>
      <c r="AH114" s="16" t="s">
        <v>85</v>
      </c>
      <c r="AI114" s="16" t="s">
        <v>104</v>
      </c>
      <c r="AJ114" s="16" t="s">
        <v>85</v>
      </c>
      <c r="AK114" s="16" t="s">
        <v>85</v>
      </c>
      <c r="AL114" s="16" t="s">
        <v>85</v>
      </c>
      <c r="AM114" s="16" t="s">
        <v>92</v>
      </c>
      <c r="AN114" s="16" t="s">
        <v>85</v>
      </c>
      <c r="AO114" s="16" t="s">
        <v>85</v>
      </c>
      <c r="AP114" s="16" t="s">
        <v>85</v>
      </c>
      <c r="AQ114" s="16" t="s">
        <v>85</v>
      </c>
      <c r="AR114" s="16" t="s">
        <v>85</v>
      </c>
      <c r="AS114" s="16" t="s">
        <v>85</v>
      </c>
      <c r="AT114" s="16" t="s">
        <v>85</v>
      </c>
      <c r="AU114" s="16" t="s">
        <v>85</v>
      </c>
      <c r="AV114" s="16" t="s">
        <v>85</v>
      </c>
      <c r="AW114" s="16" t="s">
        <v>85</v>
      </c>
      <c r="AX114" s="16" t="s">
        <v>85</v>
      </c>
      <c r="AY114" s="16" t="s">
        <v>85</v>
      </c>
      <c r="AZ114" s="16" t="s">
        <v>85</v>
      </c>
      <c r="BA114" s="16" t="s">
        <v>85</v>
      </c>
      <c r="BB114" s="16" t="s">
        <v>85</v>
      </c>
      <c r="BC114" s="16" t="s">
        <v>85</v>
      </c>
      <c r="BD114" s="16" t="s">
        <v>85</v>
      </c>
      <c r="BE114" s="16" t="s">
        <v>85</v>
      </c>
      <c r="BF114" s="16" t="s">
        <v>85</v>
      </c>
      <c r="BG114" s="16" t="s">
        <v>85</v>
      </c>
      <c r="BH114" s="16" t="s">
        <v>85</v>
      </c>
      <c r="BI114" s="16" t="s">
        <v>85</v>
      </c>
      <c r="BJ114" s="16" t="s">
        <v>85</v>
      </c>
      <c r="BK114" s="10"/>
    </row>
    <row r="115">
      <c r="A115" s="21"/>
      <c r="B115" s="21"/>
      <c r="C115" s="21"/>
      <c r="D115" s="21"/>
      <c r="E115" s="18">
        <v>2.0</v>
      </c>
      <c r="F115" s="18">
        <v>51.0</v>
      </c>
      <c r="G115" s="21"/>
      <c r="H115" s="21"/>
      <c r="I115" s="21"/>
      <c r="J115" s="21"/>
      <c r="K115" s="21"/>
      <c r="L115" s="21"/>
      <c r="M115" s="21"/>
      <c r="N115" s="21"/>
      <c r="O115" s="21"/>
      <c r="P115" s="21"/>
      <c r="Q115" s="18">
        <v>46.0</v>
      </c>
      <c r="R115" s="21"/>
      <c r="S115" s="21"/>
      <c r="T115" s="19">
        <v>86.0</v>
      </c>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10"/>
    </row>
    <row r="116">
      <c r="A116" s="21"/>
      <c r="B116" s="21"/>
      <c r="C116" s="21"/>
      <c r="D116" s="21"/>
      <c r="E116" s="18">
        <v>3.0</v>
      </c>
      <c r="F116" s="18">
        <v>56.0</v>
      </c>
      <c r="G116" s="21"/>
      <c r="H116" s="21"/>
      <c r="I116" s="21"/>
      <c r="J116" s="21"/>
      <c r="K116" s="21"/>
      <c r="L116" s="21"/>
      <c r="M116" s="21"/>
      <c r="N116" s="21"/>
      <c r="O116" s="21"/>
      <c r="P116" s="21"/>
      <c r="Q116" s="18">
        <v>50.0</v>
      </c>
      <c r="R116" s="21"/>
      <c r="S116" s="21"/>
      <c r="T116" s="19">
        <v>95.0</v>
      </c>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10"/>
    </row>
    <row r="117">
      <c r="A117" s="21"/>
      <c r="B117" s="21"/>
      <c r="C117" s="21"/>
      <c r="D117" s="21"/>
      <c r="E117" s="18">
        <v>4.0</v>
      </c>
      <c r="F117" s="18">
        <v>62.0</v>
      </c>
      <c r="G117" s="21"/>
      <c r="H117" s="21"/>
      <c r="I117" s="21"/>
      <c r="J117" s="21"/>
      <c r="K117" s="21"/>
      <c r="L117" s="21"/>
      <c r="M117" s="21"/>
      <c r="N117" s="21"/>
      <c r="O117" s="21"/>
      <c r="P117" s="21"/>
      <c r="Q117" s="18">
        <v>56.0</v>
      </c>
      <c r="R117" s="21"/>
      <c r="S117" s="21"/>
      <c r="T117" s="19">
        <v>105.0</v>
      </c>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10"/>
    </row>
    <row r="118">
      <c r="A118" s="21"/>
      <c r="B118" s="21"/>
      <c r="C118" s="21"/>
      <c r="D118" s="21"/>
      <c r="E118" s="18">
        <v>5.0</v>
      </c>
      <c r="F118" s="18">
        <v>68.0</v>
      </c>
      <c r="G118" s="21"/>
      <c r="H118" s="21"/>
      <c r="I118" s="21"/>
      <c r="J118" s="21"/>
      <c r="K118" s="21"/>
      <c r="L118" s="21"/>
      <c r="M118" s="21"/>
      <c r="N118" s="21"/>
      <c r="O118" s="21"/>
      <c r="P118" s="21"/>
      <c r="Q118" s="18">
        <v>61.0</v>
      </c>
      <c r="R118" s="21"/>
      <c r="S118" s="21"/>
      <c r="T118" s="19">
        <v>115.0</v>
      </c>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10"/>
    </row>
    <row r="119">
      <c r="A119" s="21"/>
      <c r="B119" s="21"/>
      <c r="C119" s="21"/>
      <c r="D119" s="21"/>
      <c r="E119" s="18">
        <v>6.0</v>
      </c>
      <c r="F119" s="18">
        <v>75.0</v>
      </c>
      <c r="G119" s="21"/>
      <c r="H119" s="21"/>
      <c r="I119" s="21"/>
      <c r="J119" s="21"/>
      <c r="K119" s="21"/>
      <c r="L119" s="21"/>
      <c r="M119" s="21"/>
      <c r="N119" s="21"/>
      <c r="O119" s="21"/>
      <c r="P119" s="21"/>
      <c r="Q119" s="18">
        <v>68.0</v>
      </c>
      <c r="R119" s="21"/>
      <c r="S119" s="21"/>
      <c r="T119" s="19">
        <v>126.0</v>
      </c>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10"/>
    </row>
    <row r="120">
      <c r="A120" s="21"/>
      <c r="B120" s="21"/>
      <c r="C120" s="21"/>
      <c r="D120" s="21"/>
      <c r="E120" s="18">
        <v>7.0</v>
      </c>
      <c r="F120" s="18">
        <v>82.0</v>
      </c>
      <c r="G120" s="21"/>
      <c r="H120" s="21"/>
      <c r="I120" s="21"/>
      <c r="J120" s="21"/>
      <c r="K120" s="21"/>
      <c r="L120" s="21"/>
      <c r="M120" s="21"/>
      <c r="N120" s="21"/>
      <c r="O120" s="21"/>
      <c r="P120" s="21"/>
      <c r="Q120" s="18">
        <v>74.0</v>
      </c>
      <c r="R120" s="21"/>
      <c r="S120" s="21"/>
      <c r="T120" s="19">
        <v>139.0</v>
      </c>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10"/>
    </row>
    <row r="121">
      <c r="A121" s="21"/>
      <c r="B121" s="21"/>
      <c r="C121" s="21"/>
      <c r="D121" s="21"/>
      <c r="E121" s="18">
        <v>8.0</v>
      </c>
      <c r="F121" s="18">
        <v>90.0</v>
      </c>
      <c r="G121" s="21"/>
      <c r="H121" s="21"/>
      <c r="I121" s="21"/>
      <c r="J121" s="21"/>
      <c r="K121" s="21"/>
      <c r="L121" s="21"/>
      <c r="M121" s="21"/>
      <c r="N121" s="21"/>
      <c r="O121" s="21"/>
      <c r="P121" s="21"/>
      <c r="Q121" s="18">
        <v>81.0</v>
      </c>
      <c r="R121" s="21"/>
      <c r="S121" s="21"/>
      <c r="T121" s="19">
        <v>152.0</v>
      </c>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10"/>
    </row>
    <row r="122">
      <c r="A122" s="21"/>
      <c r="B122" s="21"/>
      <c r="C122" s="21"/>
      <c r="D122" s="21"/>
      <c r="E122" s="18">
        <v>9.0</v>
      </c>
      <c r="F122" s="18">
        <v>99.0</v>
      </c>
      <c r="G122" s="21"/>
      <c r="H122" s="21"/>
      <c r="I122" s="21"/>
      <c r="J122" s="21"/>
      <c r="K122" s="21"/>
      <c r="L122" s="21"/>
      <c r="M122" s="21"/>
      <c r="N122" s="21"/>
      <c r="O122" s="21"/>
      <c r="P122" s="21"/>
      <c r="Q122" s="18">
        <v>90.0</v>
      </c>
      <c r="R122" s="21"/>
      <c r="S122" s="21"/>
      <c r="T122" s="19">
        <v>167.0</v>
      </c>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10"/>
    </row>
    <row r="123">
      <c r="A123" s="21"/>
      <c r="B123" s="21"/>
      <c r="C123" s="21"/>
      <c r="D123" s="21"/>
      <c r="E123" s="18">
        <v>10.0</v>
      </c>
      <c r="F123" s="18">
        <v>109.0</v>
      </c>
      <c r="G123" s="21"/>
      <c r="H123" s="21"/>
      <c r="I123" s="21"/>
      <c r="J123" s="21"/>
      <c r="K123" s="21"/>
      <c r="L123" s="21"/>
      <c r="M123" s="21"/>
      <c r="N123" s="21"/>
      <c r="O123" s="21"/>
      <c r="P123" s="21"/>
      <c r="Q123" s="18">
        <v>99.0</v>
      </c>
      <c r="R123" s="21"/>
      <c r="S123" s="21"/>
      <c r="T123" s="19">
        <v>184.0</v>
      </c>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10"/>
    </row>
    <row r="124">
      <c r="A124" s="21"/>
      <c r="B124" s="21"/>
      <c r="C124" s="21"/>
      <c r="D124" s="21"/>
      <c r="E124" s="18">
        <v>11.0</v>
      </c>
      <c r="F124" s="18">
        <v>120.0</v>
      </c>
      <c r="G124" s="21"/>
      <c r="H124" s="21"/>
      <c r="I124" s="21"/>
      <c r="J124" s="21"/>
      <c r="K124" s="21"/>
      <c r="L124" s="21"/>
      <c r="M124" s="21"/>
      <c r="N124" s="21"/>
      <c r="O124" s="21"/>
      <c r="P124" s="21"/>
      <c r="Q124" s="18">
        <v>109.0</v>
      </c>
      <c r="R124" s="21"/>
      <c r="S124" s="21"/>
      <c r="T124" s="19">
        <v>202.0</v>
      </c>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10"/>
    </row>
    <row r="125">
      <c r="A125" s="21"/>
      <c r="B125" s="21"/>
      <c r="C125" s="21"/>
      <c r="D125" s="21"/>
      <c r="E125" s="18">
        <v>12.0</v>
      </c>
      <c r="F125" s="18">
        <v>132.0</v>
      </c>
      <c r="G125" s="21"/>
      <c r="H125" s="21"/>
      <c r="I125" s="21"/>
      <c r="J125" s="21"/>
      <c r="K125" s="21"/>
      <c r="L125" s="21"/>
      <c r="M125" s="21"/>
      <c r="N125" s="21"/>
      <c r="O125" s="21"/>
      <c r="P125" s="21"/>
      <c r="Q125" s="18">
        <v>120.0</v>
      </c>
      <c r="R125" s="21"/>
      <c r="S125" s="21"/>
      <c r="T125" s="19">
        <v>221.0</v>
      </c>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10"/>
    </row>
    <row r="126">
      <c r="A126" s="22"/>
      <c r="B126" s="22"/>
      <c r="C126" s="22"/>
      <c r="D126" s="22"/>
      <c r="E126" s="18">
        <v>13.0</v>
      </c>
      <c r="F126" s="18">
        <v>145.0</v>
      </c>
      <c r="G126" s="22"/>
      <c r="H126" s="22"/>
      <c r="I126" s="22"/>
      <c r="J126" s="22"/>
      <c r="K126" s="22"/>
      <c r="L126" s="22"/>
      <c r="M126" s="22"/>
      <c r="N126" s="22"/>
      <c r="O126" s="22"/>
      <c r="P126" s="22"/>
      <c r="Q126" s="18">
        <v>131.0</v>
      </c>
      <c r="R126" s="22"/>
      <c r="S126" s="22"/>
      <c r="T126" s="19">
        <v>244.0</v>
      </c>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10"/>
    </row>
    <row r="127">
      <c r="A127" s="16" t="s">
        <v>116</v>
      </c>
      <c r="B127" s="27" t="s">
        <v>101</v>
      </c>
      <c r="C127" s="16" t="s">
        <v>117</v>
      </c>
      <c r="D127" s="16">
        <v>4.0</v>
      </c>
      <c r="E127" s="18">
        <v>3.0</v>
      </c>
      <c r="F127" s="16" t="s">
        <v>85</v>
      </c>
      <c r="G127" s="16" t="s">
        <v>85</v>
      </c>
      <c r="H127" s="16" t="s">
        <v>85</v>
      </c>
      <c r="I127" s="16" t="s">
        <v>85</v>
      </c>
      <c r="J127" s="16" t="s">
        <v>85</v>
      </c>
      <c r="K127" s="16" t="s">
        <v>85</v>
      </c>
      <c r="L127" s="16" t="s">
        <v>85</v>
      </c>
      <c r="M127" s="16" t="s">
        <v>85</v>
      </c>
      <c r="N127" s="16" t="s">
        <v>85</v>
      </c>
      <c r="O127" s="16" t="s">
        <v>85</v>
      </c>
      <c r="P127" s="16" t="s">
        <v>85</v>
      </c>
      <c r="Q127" s="16" t="s">
        <v>85</v>
      </c>
      <c r="R127" s="16" t="s">
        <v>85</v>
      </c>
      <c r="S127" s="16" t="s">
        <v>85</v>
      </c>
      <c r="T127" s="18">
        <v>455.0</v>
      </c>
      <c r="U127" s="16" t="s">
        <v>85</v>
      </c>
      <c r="V127" s="16" t="s">
        <v>85</v>
      </c>
      <c r="W127" s="16" t="s">
        <v>118</v>
      </c>
      <c r="X127" s="18">
        <v>3.0</v>
      </c>
      <c r="Y127" s="16" t="s">
        <v>85</v>
      </c>
      <c r="Z127" s="16" t="s">
        <v>85</v>
      </c>
      <c r="AA127" s="16" t="s">
        <v>85</v>
      </c>
      <c r="AB127" s="16" t="s">
        <v>85</v>
      </c>
      <c r="AC127" s="16" t="s">
        <v>85</v>
      </c>
      <c r="AD127" s="16" t="s">
        <v>85</v>
      </c>
      <c r="AE127" s="16" t="s">
        <v>85</v>
      </c>
      <c r="AF127" s="16" t="s">
        <v>85</v>
      </c>
      <c r="AG127" s="16" t="s">
        <v>85</v>
      </c>
      <c r="AH127" s="16" t="s">
        <v>85</v>
      </c>
      <c r="AI127" s="16" t="s">
        <v>85</v>
      </c>
      <c r="AJ127" s="16" t="s">
        <v>85</v>
      </c>
      <c r="AK127" s="16" t="s">
        <v>85</v>
      </c>
      <c r="AL127" s="16" t="s">
        <v>119</v>
      </c>
      <c r="AM127" s="16" t="s">
        <v>85</v>
      </c>
      <c r="AN127" s="16" t="s">
        <v>120</v>
      </c>
      <c r="AO127" s="16" t="s">
        <v>85</v>
      </c>
      <c r="AP127" s="16" t="s">
        <v>85</v>
      </c>
      <c r="AQ127" s="16" t="s">
        <v>85</v>
      </c>
      <c r="AR127" s="16" t="s">
        <v>85</v>
      </c>
      <c r="AS127" s="16" t="s">
        <v>85</v>
      </c>
      <c r="AT127" s="16" t="s">
        <v>85</v>
      </c>
      <c r="AU127" s="16" t="s">
        <v>85</v>
      </c>
      <c r="AV127" s="16" t="s">
        <v>85</v>
      </c>
      <c r="AW127" s="16" t="s">
        <v>85</v>
      </c>
      <c r="AX127" s="16" t="s">
        <v>85</v>
      </c>
      <c r="AY127" s="16" t="s">
        <v>85</v>
      </c>
      <c r="AZ127" s="16" t="s">
        <v>85</v>
      </c>
      <c r="BA127" s="16" t="s">
        <v>85</v>
      </c>
      <c r="BB127" s="16" t="s">
        <v>85</v>
      </c>
      <c r="BC127" s="16" t="s">
        <v>85</v>
      </c>
      <c r="BD127" s="16" t="s">
        <v>85</v>
      </c>
      <c r="BE127" s="16" t="s">
        <v>85</v>
      </c>
      <c r="BF127" s="16" t="s">
        <v>85</v>
      </c>
      <c r="BG127" s="16" t="s">
        <v>85</v>
      </c>
      <c r="BH127" s="16" t="s">
        <v>85</v>
      </c>
      <c r="BI127" s="16" t="s">
        <v>85</v>
      </c>
      <c r="BJ127" s="16" t="s">
        <v>85</v>
      </c>
      <c r="BK127" s="10"/>
    </row>
    <row r="128">
      <c r="A128" s="21"/>
      <c r="B128" s="21"/>
      <c r="C128" s="21"/>
      <c r="D128" s="21"/>
      <c r="E128" s="18">
        <v>4.0</v>
      </c>
      <c r="F128" s="21"/>
      <c r="G128" s="21"/>
      <c r="H128" s="21"/>
      <c r="I128" s="21"/>
      <c r="J128" s="21"/>
      <c r="K128" s="21"/>
      <c r="L128" s="21"/>
      <c r="M128" s="21"/>
      <c r="N128" s="21"/>
      <c r="O128" s="21"/>
      <c r="P128" s="21"/>
      <c r="Q128" s="21"/>
      <c r="R128" s="21"/>
      <c r="S128" s="21"/>
      <c r="T128" s="19">
        <v>500.0</v>
      </c>
      <c r="U128" s="21"/>
      <c r="V128" s="21"/>
      <c r="W128" s="21"/>
      <c r="X128" s="18">
        <v>4.0</v>
      </c>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10"/>
    </row>
    <row r="129">
      <c r="A129" s="21"/>
      <c r="B129" s="21"/>
      <c r="C129" s="21"/>
      <c r="D129" s="21"/>
      <c r="E129" s="18">
        <v>5.0</v>
      </c>
      <c r="F129" s="21"/>
      <c r="G129" s="21"/>
      <c r="H129" s="21"/>
      <c r="I129" s="21"/>
      <c r="J129" s="21"/>
      <c r="K129" s="21"/>
      <c r="L129" s="21"/>
      <c r="M129" s="21"/>
      <c r="N129" s="21"/>
      <c r="O129" s="21"/>
      <c r="P129" s="21"/>
      <c r="Q129" s="21"/>
      <c r="R129" s="21"/>
      <c r="S129" s="21"/>
      <c r="T129" s="19">
        <v>550.0</v>
      </c>
      <c r="U129" s="21"/>
      <c r="V129" s="21"/>
      <c r="W129" s="21"/>
      <c r="X129" s="18">
        <v>5.0</v>
      </c>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10"/>
    </row>
    <row r="130">
      <c r="A130" s="21"/>
      <c r="B130" s="21"/>
      <c r="C130" s="21"/>
      <c r="D130" s="21"/>
      <c r="E130" s="18">
        <v>6.0</v>
      </c>
      <c r="F130" s="21"/>
      <c r="G130" s="21"/>
      <c r="H130" s="21"/>
      <c r="I130" s="21"/>
      <c r="J130" s="21"/>
      <c r="K130" s="21"/>
      <c r="L130" s="21"/>
      <c r="M130" s="21"/>
      <c r="N130" s="21"/>
      <c r="O130" s="21"/>
      <c r="P130" s="21"/>
      <c r="Q130" s="21"/>
      <c r="R130" s="21"/>
      <c r="S130" s="21"/>
      <c r="T130" s="19">
        <v>605.0</v>
      </c>
      <c r="U130" s="21"/>
      <c r="V130" s="21"/>
      <c r="W130" s="21"/>
      <c r="X130" s="18">
        <v>6.0</v>
      </c>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10"/>
    </row>
    <row r="131">
      <c r="A131" s="21"/>
      <c r="B131" s="21"/>
      <c r="C131" s="21"/>
      <c r="D131" s="21"/>
      <c r="E131" s="18">
        <v>7.0</v>
      </c>
      <c r="F131" s="21"/>
      <c r="G131" s="21"/>
      <c r="H131" s="21"/>
      <c r="I131" s="21"/>
      <c r="J131" s="21"/>
      <c r="K131" s="21"/>
      <c r="L131" s="21"/>
      <c r="M131" s="21"/>
      <c r="N131" s="21"/>
      <c r="O131" s="21"/>
      <c r="P131" s="21"/>
      <c r="Q131" s="21"/>
      <c r="R131" s="21"/>
      <c r="S131" s="21"/>
      <c r="T131" s="19">
        <v>664.0</v>
      </c>
      <c r="U131" s="21"/>
      <c r="V131" s="21"/>
      <c r="W131" s="21"/>
      <c r="X131" s="18">
        <v>7.0</v>
      </c>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10"/>
    </row>
    <row r="132">
      <c r="A132" s="21"/>
      <c r="B132" s="21"/>
      <c r="C132" s="21"/>
      <c r="D132" s="21"/>
      <c r="E132" s="18">
        <v>8.0</v>
      </c>
      <c r="F132" s="21"/>
      <c r="G132" s="21"/>
      <c r="H132" s="21"/>
      <c r="I132" s="21"/>
      <c r="J132" s="21"/>
      <c r="K132" s="21"/>
      <c r="L132" s="21"/>
      <c r="M132" s="21"/>
      <c r="N132" s="21"/>
      <c r="O132" s="21"/>
      <c r="P132" s="21"/>
      <c r="Q132" s="21"/>
      <c r="R132" s="21"/>
      <c r="S132" s="21"/>
      <c r="T132" s="19">
        <v>728.0</v>
      </c>
      <c r="U132" s="21"/>
      <c r="V132" s="21"/>
      <c r="W132" s="21"/>
      <c r="X132" s="18">
        <v>8.0</v>
      </c>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10"/>
    </row>
    <row r="133">
      <c r="A133" s="21"/>
      <c r="B133" s="21"/>
      <c r="C133" s="21"/>
      <c r="D133" s="21"/>
      <c r="E133" s="18">
        <v>9.0</v>
      </c>
      <c r="F133" s="21"/>
      <c r="G133" s="21"/>
      <c r="H133" s="21"/>
      <c r="I133" s="21"/>
      <c r="J133" s="21"/>
      <c r="K133" s="21"/>
      <c r="L133" s="21"/>
      <c r="M133" s="21"/>
      <c r="N133" s="21"/>
      <c r="O133" s="21"/>
      <c r="P133" s="21"/>
      <c r="Q133" s="21"/>
      <c r="R133" s="21"/>
      <c r="S133" s="21"/>
      <c r="T133" s="19">
        <v>800.0</v>
      </c>
      <c r="U133" s="21"/>
      <c r="V133" s="21"/>
      <c r="W133" s="21"/>
      <c r="X133" s="18">
        <v>9.0</v>
      </c>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10"/>
    </row>
    <row r="134">
      <c r="A134" s="21"/>
      <c r="B134" s="21"/>
      <c r="C134" s="21"/>
      <c r="D134" s="21"/>
      <c r="E134" s="18">
        <v>10.0</v>
      </c>
      <c r="F134" s="21"/>
      <c r="G134" s="21"/>
      <c r="H134" s="21"/>
      <c r="I134" s="21"/>
      <c r="J134" s="21"/>
      <c r="K134" s="21"/>
      <c r="L134" s="21"/>
      <c r="M134" s="21"/>
      <c r="N134" s="21"/>
      <c r="O134" s="21"/>
      <c r="P134" s="21"/>
      <c r="Q134" s="21"/>
      <c r="R134" s="21"/>
      <c r="S134" s="21"/>
      <c r="T134" s="19">
        <v>878.0</v>
      </c>
      <c r="U134" s="21"/>
      <c r="V134" s="21"/>
      <c r="W134" s="21"/>
      <c r="X134" s="18">
        <v>10.0</v>
      </c>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10"/>
    </row>
    <row r="135">
      <c r="A135" s="21"/>
      <c r="B135" s="21"/>
      <c r="C135" s="21"/>
      <c r="D135" s="21"/>
      <c r="E135" s="18">
        <v>11.0</v>
      </c>
      <c r="F135" s="21"/>
      <c r="G135" s="21"/>
      <c r="H135" s="21"/>
      <c r="I135" s="21"/>
      <c r="J135" s="21"/>
      <c r="K135" s="21"/>
      <c r="L135" s="21"/>
      <c r="M135" s="21"/>
      <c r="N135" s="21"/>
      <c r="O135" s="21"/>
      <c r="P135" s="21"/>
      <c r="Q135" s="21"/>
      <c r="R135" s="21"/>
      <c r="S135" s="21"/>
      <c r="T135" s="19">
        <v>964.0</v>
      </c>
      <c r="U135" s="21"/>
      <c r="V135" s="21"/>
      <c r="W135" s="21"/>
      <c r="X135" s="18">
        <v>11.0</v>
      </c>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10"/>
    </row>
    <row r="136">
      <c r="A136" s="21"/>
      <c r="B136" s="21"/>
      <c r="C136" s="21"/>
      <c r="D136" s="21"/>
      <c r="E136" s="18">
        <v>12.0</v>
      </c>
      <c r="F136" s="21"/>
      <c r="G136" s="21"/>
      <c r="H136" s="21"/>
      <c r="I136" s="21"/>
      <c r="J136" s="21"/>
      <c r="K136" s="21"/>
      <c r="L136" s="21"/>
      <c r="M136" s="21"/>
      <c r="N136" s="21"/>
      <c r="O136" s="21"/>
      <c r="P136" s="21"/>
      <c r="Q136" s="21"/>
      <c r="R136" s="21"/>
      <c r="S136" s="21"/>
      <c r="T136" s="19">
        <v>1060.0</v>
      </c>
      <c r="U136" s="21"/>
      <c r="V136" s="21"/>
      <c r="W136" s="21"/>
      <c r="X136" s="18">
        <v>12.0</v>
      </c>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10"/>
    </row>
    <row r="137">
      <c r="A137" s="22"/>
      <c r="B137" s="22"/>
      <c r="C137" s="22"/>
      <c r="D137" s="22"/>
      <c r="E137" s="18">
        <v>13.0</v>
      </c>
      <c r="F137" s="22"/>
      <c r="G137" s="22"/>
      <c r="H137" s="22"/>
      <c r="I137" s="22"/>
      <c r="J137" s="22"/>
      <c r="K137" s="22"/>
      <c r="L137" s="22"/>
      <c r="M137" s="22"/>
      <c r="N137" s="22"/>
      <c r="O137" s="22"/>
      <c r="P137" s="22"/>
      <c r="Q137" s="22"/>
      <c r="R137" s="22"/>
      <c r="S137" s="22"/>
      <c r="T137" s="19">
        <v>1164.0</v>
      </c>
      <c r="U137" s="22"/>
      <c r="V137" s="22"/>
      <c r="W137" s="22"/>
      <c r="X137" s="18">
        <v>13.0</v>
      </c>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10"/>
    </row>
    <row r="138">
      <c r="A138" s="12" t="s">
        <v>121</v>
      </c>
      <c r="B138" s="13" t="s">
        <v>122</v>
      </c>
      <c r="C138" s="14"/>
      <c r="D138" s="14"/>
      <c r="E138" s="15"/>
      <c r="F138" s="29"/>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5"/>
      <c r="BK138" s="10"/>
    </row>
    <row r="139">
      <c r="A139" s="16" t="s">
        <v>123</v>
      </c>
      <c r="B139" s="17" t="s">
        <v>83</v>
      </c>
      <c r="C139" s="16" t="s">
        <v>87</v>
      </c>
      <c r="D139" s="16">
        <v>2.0</v>
      </c>
      <c r="E139" s="18">
        <v>1.0</v>
      </c>
      <c r="F139" s="16" t="s">
        <v>85</v>
      </c>
      <c r="G139" s="18">
        <v>87.0</v>
      </c>
      <c r="H139" s="16" t="s">
        <v>85</v>
      </c>
      <c r="I139" s="16" t="s">
        <v>85</v>
      </c>
      <c r="J139" s="16" t="s">
        <v>85</v>
      </c>
      <c r="K139" s="16" t="s">
        <v>85</v>
      </c>
      <c r="L139" s="16" t="s">
        <v>85</v>
      </c>
      <c r="M139" s="16" t="s">
        <v>85</v>
      </c>
      <c r="N139" s="16" t="s">
        <v>85</v>
      </c>
      <c r="O139" s="16" t="s">
        <v>85</v>
      </c>
      <c r="P139" s="16" t="s">
        <v>85</v>
      </c>
      <c r="Q139" s="19">
        <v>48.0</v>
      </c>
      <c r="R139" s="16" t="s">
        <v>85</v>
      </c>
      <c r="S139" s="16" t="s">
        <v>85</v>
      </c>
      <c r="T139" s="18">
        <v>130.0</v>
      </c>
      <c r="U139" s="16" t="s">
        <v>85</v>
      </c>
      <c r="V139" s="16" t="s">
        <v>85</v>
      </c>
      <c r="W139" s="16" t="s">
        <v>85</v>
      </c>
      <c r="X139" s="16" t="s">
        <v>85</v>
      </c>
      <c r="Y139" s="16" t="s">
        <v>85</v>
      </c>
      <c r="Z139" s="16" t="s">
        <v>85</v>
      </c>
      <c r="AA139" s="16" t="s">
        <v>85</v>
      </c>
      <c r="AB139" s="16" t="s">
        <v>85</v>
      </c>
      <c r="AC139" s="16" t="s">
        <v>85</v>
      </c>
      <c r="AD139" s="16" t="s">
        <v>85</v>
      </c>
      <c r="AE139" s="16" t="s">
        <v>124</v>
      </c>
      <c r="AF139" s="16" t="s">
        <v>98</v>
      </c>
      <c r="AG139" s="16" t="s">
        <v>95</v>
      </c>
      <c r="AH139" s="16" t="s">
        <v>85</v>
      </c>
      <c r="AI139" s="16">
        <v>5.0</v>
      </c>
      <c r="AJ139" s="16" t="s">
        <v>85</v>
      </c>
      <c r="AK139" s="16" t="s">
        <v>85</v>
      </c>
      <c r="AL139" s="16" t="s">
        <v>85</v>
      </c>
      <c r="AM139" s="16" t="s">
        <v>85</v>
      </c>
      <c r="AN139" s="16" t="s">
        <v>85</v>
      </c>
      <c r="AO139" s="16" t="s">
        <v>85</v>
      </c>
      <c r="AP139" s="16" t="s">
        <v>85</v>
      </c>
      <c r="AQ139" s="16" t="s">
        <v>85</v>
      </c>
      <c r="AR139" s="16" t="s">
        <v>85</v>
      </c>
      <c r="AS139" s="16" t="s">
        <v>85</v>
      </c>
      <c r="AT139" s="16" t="s">
        <v>85</v>
      </c>
      <c r="AU139" s="16" t="s">
        <v>85</v>
      </c>
      <c r="AV139" s="16" t="s">
        <v>85</v>
      </c>
      <c r="AW139" s="16" t="s">
        <v>85</v>
      </c>
      <c r="AX139" s="16" t="s">
        <v>85</v>
      </c>
      <c r="AY139" s="16" t="s">
        <v>85</v>
      </c>
      <c r="AZ139" s="16" t="s">
        <v>85</v>
      </c>
      <c r="BA139" s="16" t="s">
        <v>85</v>
      </c>
      <c r="BB139" s="16" t="s">
        <v>85</v>
      </c>
      <c r="BC139" s="16" t="s">
        <v>85</v>
      </c>
      <c r="BD139" s="16" t="s">
        <v>85</v>
      </c>
      <c r="BE139" s="16" t="s">
        <v>85</v>
      </c>
      <c r="BF139" s="16" t="s">
        <v>85</v>
      </c>
      <c r="BG139" s="16" t="s">
        <v>85</v>
      </c>
      <c r="BH139" s="16" t="s">
        <v>85</v>
      </c>
      <c r="BI139" s="16" t="s">
        <v>85</v>
      </c>
      <c r="BJ139" s="16" t="s">
        <v>85</v>
      </c>
      <c r="BK139" s="20"/>
    </row>
    <row r="140">
      <c r="A140" s="21"/>
      <c r="B140" s="21"/>
      <c r="C140" s="21"/>
      <c r="D140" s="21"/>
      <c r="E140" s="18">
        <v>2.0</v>
      </c>
      <c r="F140" s="21"/>
      <c r="G140" s="19">
        <v>95.0</v>
      </c>
      <c r="H140" s="21"/>
      <c r="I140" s="21"/>
      <c r="J140" s="21"/>
      <c r="K140" s="21"/>
      <c r="L140" s="21"/>
      <c r="M140" s="21"/>
      <c r="N140" s="21"/>
      <c r="O140" s="21"/>
      <c r="P140" s="21"/>
      <c r="Q140" s="19">
        <v>52.0</v>
      </c>
      <c r="R140" s="21"/>
      <c r="S140" s="21"/>
      <c r="T140" s="19">
        <v>143.0</v>
      </c>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0"/>
    </row>
    <row r="141">
      <c r="A141" s="21"/>
      <c r="B141" s="21"/>
      <c r="C141" s="21"/>
      <c r="D141" s="21"/>
      <c r="E141" s="18">
        <v>3.0</v>
      </c>
      <c r="F141" s="21"/>
      <c r="G141" s="19">
        <v>105.0</v>
      </c>
      <c r="H141" s="21"/>
      <c r="I141" s="21"/>
      <c r="J141" s="21"/>
      <c r="K141" s="21"/>
      <c r="L141" s="21"/>
      <c r="M141" s="21"/>
      <c r="N141" s="21"/>
      <c r="O141" s="21"/>
      <c r="P141" s="21"/>
      <c r="Q141" s="19">
        <v>58.0</v>
      </c>
      <c r="R141" s="21"/>
      <c r="S141" s="21"/>
      <c r="T141" s="19">
        <v>157.0</v>
      </c>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0"/>
    </row>
    <row r="142">
      <c r="A142" s="21"/>
      <c r="B142" s="21"/>
      <c r="C142" s="21"/>
      <c r="D142" s="21"/>
      <c r="E142" s="18">
        <v>4.0</v>
      </c>
      <c r="F142" s="21"/>
      <c r="G142" s="19">
        <v>115.0</v>
      </c>
      <c r="H142" s="21"/>
      <c r="I142" s="21"/>
      <c r="J142" s="21"/>
      <c r="K142" s="21"/>
      <c r="L142" s="21"/>
      <c r="M142" s="21"/>
      <c r="N142" s="21"/>
      <c r="O142" s="21"/>
      <c r="P142" s="21"/>
      <c r="Q142" s="19">
        <v>63.0</v>
      </c>
      <c r="R142" s="21"/>
      <c r="S142" s="21"/>
      <c r="T142" s="19">
        <v>172.0</v>
      </c>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0"/>
    </row>
    <row r="143">
      <c r="A143" s="21"/>
      <c r="B143" s="21"/>
      <c r="C143" s="21"/>
      <c r="D143" s="21"/>
      <c r="E143" s="18">
        <v>5.0</v>
      </c>
      <c r="F143" s="21"/>
      <c r="G143" s="19">
        <v>127.0</v>
      </c>
      <c r="H143" s="21"/>
      <c r="I143" s="21"/>
      <c r="J143" s="21"/>
      <c r="K143" s="21"/>
      <c r="L143" s="21"/>
      <c r="M143" s="21"/>
      <c r="N143" s="21"/>
      <c r="O143" s="21"/>
      <c r="P143" s="21"/>
      <c r="Q143" s="19">
        <v>70.0</v>
      </c>
      <c r="R143" s="21"/>
      <c r="S143" s="21"/>
      <c r="T143" s="19">
        <v>189.0</v>
      </c>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0"/>
    </row>
    <row r="144">
      <c r="A144" s="21"/>
      <c r="B144" s="21"/>
      <c r="C144" s="21"/>
      <c r="D144" s="21"/>
      <c r="E144" s="18">
        <v>6.0</v>
      </c>
      <c r="F144" s="21"/>
      <c r="G144" s="19">
        <v>139.0</v>
      </c>
      <c r="H144" s="21"/>
      <c r="I144" s="21"/>
      <c r="J144" s="21"/>
      <c r="K144" s="21"/>
      <c r="L144" s="21"/>
      <c r="M144" s="21"/>
      <c r="N144" s="21"/>
      <c r="O144" s="21"/>
      <c r="P144" s="21"/>
      <c r="Q144" s="19">
        <v>77.0</v>
      </c>
      <c r="R144" s="21"/>
      <c r="S144" s="21"/>
      <c r="T144" s="19">
        <v>208.0</v>
      </c>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0"/>
    </row>
    <row r="145">
      <c r="A145" s="21"/>
      <c r="B145" s="21"/>
      <c r="C145" s="21"/>
      <c r="D145" s="21"/>
      <c r="E145" s="18">
        <v>7.0</v>
      </c>
      <c r="F145" s="21"/>
      <c r="G145" s="19">
        <v>153.0</v>
      </c>
      <c r="H145" s="21"/>
      <c r="I145" s="21"/>
      <c r="J145" s="21"/>
      <c r="K145" s="21"/>
      <c r="L145" s="21"/>
      <c r="M145" s="21"/>
      <c r="N145" s="21"/>
      <c r="O145" s="21"/>
      <c r="P145" s="21"/>
      <c r="Q145" s="19">
        <v>85.0</v>
      </c>
      <c r="R145" s="21"/>
      <c r="S145" s="21"/>
      <c r="T145" s="19">
        <v>228.0</v>
      </c>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0"/>
    </row>
    <row r="146">
      <c r="A146" s="21"/>
      <c r="B146" s="21"/>
      <c r="C146" s="21"/>
      <c r="D146" s="21"/>
      <c r="E146" s="18">
        <v>8.0</v>
      </c>
      <c r="F146" s="21"/>
      <c r="G146" s="19">
        <v>167.0</v>
      </c>
      <c r="H146" s="21"/>
      <c r="I146" s="21"/>
      <c r="J146" s="21"/>
      <c r="K146" s="21"/>
      <c r="L146" s="21"/>
      <c r="M146" s="21"/>
      <c r="N146" s="21"/>
      <c r="O146" s="21"/>
      <c r="P146" s="21"/>
      <c r="Q146" s="19">
        <v>92.0</v>
      </c>
      <c r="R146" s="21"/>
      <c r="S146" s="21"/>
      <c r="T146" s="19">
        <v>250.0</v>
      </c>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0"/>
    </row>
    <row r="147">
      <c r="A147" s="21"/>
      <c r="B147" s="21"/>
      <c r="C147" s="21"/>
      <c r="D147" s="21"/>
      <c r="E147" s="18">
        <v>9.0</v>
      </c>
      <c r="F147" s="21"/>
      <c r="G147" s="19">
        <v>184.0</v>
      </c>
      <c r="H147" s="21"/>
      <c r="I147" s="21"/>
      <c r="J147" s="21"/>
      <c r="K147" s="21"/>
      <c r="L147" s="21"/>
      <c r="M147" s="21"/>
      <c r="N147" s="21"/>
      <c r="O147" s="21"/>
      <c r="P147" s="21"/>
      <c r="Q147" s="19">
        <v>102.0</v>
      </c>
      <c r="R147" s="21"/>
      <c r="S147" s="21"/>
      <c r="T147" s="19">
        <v>275.0</v>
      </c>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0"/>
    </row>
    <row r="148">
      <c r="A148" s="21"/>
      <c r="B148" s="21"/>
      <c r="C148" s="21"/>
      <c r="D148" s="21"/>
      <c r="E148" s="18">
        <v>10.0</v>
      </c>
      <c r="F148" s="21"/>
      <c r="G148" s="19">
        <v>202.0</v>
      </c>
      <c r="H148" s="21"/>
      <c r="I148" s="21"/>
      <c r="J148" s="21"/>
      <c r="K148" s="21"/>
      <c r="L148" s="21"/>
      <c r="M148" s="21"/>
      <c r="N148" s="21"/>
      <c r="O148" s="21"/>
      <c r="P148" s="21"/>
      <c r="Q148" s="19">
        <v>112.0</v>
      </c>
      <c r="R148" s="21"/>
      <c r="S148" s="21"/>
      <c r="T148" s="19">
        <v>302.0</v>
      </c>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0"/>
    </row>
    <row r="149">
      <c r="A149" s="21"/>
      <c r="B149" s="21"/>
      <c r="C149" s="21"/>
      <c r="D149" s="21"/>
      <c r="E149" s="18">
        <v>11.0</v>
      </c>
      <c r="F149" s="21"/>
      <c r="G149" s="19">
        <v>222.0</v>
      </c>
      <c r="H149" s="21"/>
      <c r="I149" s="21"/>
      <c r="J149" s="21"/>
      <c r="K149" s="21"/>
      <c r="L149" s="21"/>
      <c r="M149" s="21"/>
      <c r="N149" s="21"/>
      <c r="O149" s="21"/>
      <c r="P149" s="21"/>
      <c r="Q149" s="19">
        <v>123.0</v>
      </c>
      <c r="R149" s="21"/>
      <c r="S149" s="21"/>
      <c r="T149" s="19">
        <v>332.0</v>
      </c>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0"/>
    </row>
    <row r="150">
      <c r="A150" s="21"/>
      <c r="B150" s="21"/>
      <c r="C150" s="21"/>
      <c r="D150" s="21"/>
      <c r="E150" s="18">
        <v>12.0</v>
      </c>
      <c r="F150" s="21"/>
      <c r="G150" s="19">
        <v>244.0</v>
      </c>
      <c r="H150" s="21"/>
      <c r="I150" s="21"/>
      <c r="J150" s="21"/>
      <c r="K150" s="21"/>
      <c r="L150" s="21"/>
      <c r="M150" s="21"/>
      <c r="N150" s="21"/>
      <c r="O150" s="21"/>
      <c r="P150" s="21"/>
      <c r="Q150" s="19">
        <v>135.0</v>
      </c>
      <c r="R150" s="21"/>
      <c r="S150" s="21"/>
      <c r="T150" s="19">
        <v>365.0</v>
      </c>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0"/>
    </row>
    <row r="151">
      <c r="A151" s="22"/>
      <c r="B151" s="22"/>
      <c r="C151" s="22"/>
      <c r="D151" s="22"/>
      <c r="E151" s="18">
        <v>13.0</v>
      </c>
      <c r="F151" s="22"/>
      <c r="G151" s="19">
        <v>268.0</v>
      </c>
      <c r="H151" s="22"/>
      <c r="I151" s="22"/>
      <c r="J151" s="22"/>
      <c r="K151" s="22"/>
      <c r="L151" s="22"/>
      <c r="M151" s="22"/>
      <c r="N151" s="22"/>
      <c r="O151" s="22"/>
      <c r="P151" s="22"/>
      <c r="Q151" s="19">
        <v>148.0</v>
      </c>
      <c r="R151" s="22"/>
      <c r="S151" s="22"/>
      <c r="T151" s="19">
        <v>401.0</v>
      </c>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0"/>
    </row>
    <row r="152">
      <c r="A152" s="16" t="s">
        <v>125</v>
      </c>
      <c r="B152" s="17" t="s">
        <v>83</v>
      </c>
      <c r="C152" s="16" t="s">
        <v>87</v>
      </c>
      <c r="D152" s="16">
        <v>1.0</v>
      </c>
      <c r="E152" s="18">
        <v>1.0</v>
      </c>
      <c r="F152" s="18">
        <v>32.0</v>
      </c>
      <c r="G152" s="16" t="s">
        <v>85</v>
      </c>
      <c r="H152" s="16" t="s">
        <v>85</v>
      </c>
      <c r="I152" s="16" t="s">
        <v>85</v>
      </c>
      <c r="J152" s="16" t="s">
        <v>85</v>
      </c>
      <c r="K152" s="16" t="s">
        <v>85</v>
      </c>
      <c r="L152" s="16" t="s">
        <v>85</v>
      </c>
      <c r="M152" s="16" t="s">
        <v>85</v>
      </c>
      <c r="N152" s="16" t="s">
        <v>85</v>
      </c>
      <c r="O152" s="16" t="s">
        <v>85</v>
      </c>
      <c r="P152" s="16" t="s">
        <v>85</v>
      </c>
      <c r="Q152" s="18">
        <v>32.0</v>
      </c>
      <c r="R152" s="16" t="s">
        <v>85</v>
      </c>
      <c r="S152" s="16" t="s">
        <v>85</v>
      </c>
      <c r="T152" s="18">
        <v>32.0</v>
      </c>
      <c r="U152" s="16" t="s">
        <v>85</v>
      </c>
      <c r="V152" s="16" t="s">
        <v>85</v>
      </c>
      <c r="W152" s="16" t="s">
        <v>85</v>
      </c>
      <c r="X152" s="16" t="s">
        <v>85</v>
      </c>
      <c r="Y152" s="16" t="s">
        <v>85</v>
      </c>
      <c r="Z152" s="16" t="s">
        <v>85</v>
      </c>
      <c r="AA152" s="16" t="s">
        <v>85</v>
      </c>
      <c r="AB152" s="16" t="s">
        <v>85</v>
      </c>
      <c r="AC152" s="16" t="s">
        <v>85</v>
      </c>
      <c r="AD152" s="16" t="s">
        <v>85</v>
      </c>
      <c r="AE152" s="16" t="s">
        <v>88</v>
      </c>
      <c r="AF152" s="16" t="s">
        <v>98</v>
      </c>
      <c r="AG152" s="16" t="s">
        <v>90</v>
      </c>
      <c r="AH152" s="16" t="s">
        <v>85</v>
      </c>
      <c r="AI152" s="16" t="s">
        <v>104</v>
      </c>
      <c r="AJ152" s="16" t="s">
        <v>85</v>
      </c>
      <c r="AK152" s="16" t="s">
        <v>85</v>
      </c>
      <c r="AL152" s="16" t="s">
        <v>85</v>
      </c>
      <c r="AM152" s="16" t="s">
        <v>92</v>
      </c>
      <c r="AN152" s="16" t="s">
        <v>85</v>
      </c>
      <c r="AO152" s="16" t="s">
        <v>85</v>
      </c>
      <c r="AP152" s="16" t="s">
        <v>85</v>
      </c>
      <c r="AQ152" s="16" t="s">
        <v>85</v>
      </c>
      <c r="AR152" s="16" t="s">
        <v>85</v>
      </c>
      <c r="AS152" s="16" t="s">
        <v>85</v>
      </c>
      <c r="AT152" s="16" t="s">
        <v>85</v>
      </c>
      <c r="AU152" s="16" t="s">
        <v>85</v>
      </c>
      <c r="AV152" s="16" t="s">
        <v>85</v>
      </c>
      <c r="AW152" s="16" t="s">
        <v>85</v>
      </c>
      <c r="AX152" s="16" t="s">
        <v>85</v>
      </c>
      <c r="AY152" s="16" t="s">
        <v>85</v>
      </c>
      <c r="AZ152" s="16" t="s">
        <v>85</v>
      </c>
      <c r="BA152" s="16" t="s">
        <v>85</v>
      </c>
      <c r="BB152" s="16" t="s">
        <v>85</v>
      </c>
      <c r="BC152" s="16" t="s">
        <v>85</v>
      </c>
      <c r="BD152" s="16" t="s">
        <v>85</v>
      </c>
      <c r="BE152" s="16" t="s">
        <v>85</v>
      </c>
      <c r="BF152" s="16" t="s">
        <v>85</v>
      </c>
      <c r="BG152" s="16" t="s">
        <v>85</v>
      </c>
      <c r="BH152" s="16" t="s">
        <v>85</v>
      </c>
      <c r="BI152" s="16" t="s">
        <v>85</v>
      </c>
      <c r="BJ152" s="16" t="s">
        <v>85</v>
      </c>
      <c r="BK152" s="10"/>
    </row>
    <row r="153">
      <c r="A153" s="21"/>
      <c r="B153" s="21"/>
      <c r="C153" s="21"/>
      <c r="D153" s="21"/>
      <c r="E153" s="18">
        <v>2.0</v>
      </c>
      <c r="F153" s="18">
        <v>35.0</v>
      </c>
      <c r="G153" s="21"/>
      <c r="H153" s="21"/>
      <c r="I153" s="21"/>
      <c r="J153" s="21"/>
      <c r="K153" s="21"/>
      <c r="L153" s="21"/>
      <c r="M153" s="21"/>
      <c r="N153" s="21"/>
      <c r="O153" s="21"/>
      <c r="P153" s="21"/>
      <c r="Q153" s="18">
        <v>35.0</v>
      </c>
      <c r="R153" s="21"/>
      <c r="S153" s="21"/>
      <c r="T153" s="18">
        <v>35.0</v>
      </c>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10"/>
    </row>
    <row r="154">
      <c r="A154" s="21"/>
      <c r="B154" s="21"/>
      <c r="C154" s="21"/>
      <c r="D154" s="21"/>
      <c r="E154" s="18">
        <v>3.0</v>
      </c>
      <c r="F154" s="18">
        <v>38.0</v>
      </c>
      <c r="G154" s="21"/>
      <c r="H154" s="21"/>
      <c r="I154" s="21"/>
      <c r="J154" s="21"/>
      <c r="K154" s="21"/>
      <c r="L154" s="21"/>
      <c r="M154" s="21"/>
      <c r="N154" s="21"/>
      <c r="O154" s="21"/>
      <c r="P154" s="21"/>
      <c r="Q154" s="18">
        <v>38.0</v>
      </c>
      <c r="R154" s="21"/>
      <c r="S154" s="21"/>
      <c r="T154" s="18">
        <v>38.0</v>
      </c>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10"/>
    </row>
    <row r="155">
      <c r="A155" s="21"/>
      <c r="B155" s="21"/>
      <c r="C155" s="21"/>
      <c r="D155" s="21"/>
      <c r="E155" s="18">
        <v>4.0</v>
      </c>
      <c r="F155" s="18">
        <v>42.0</v>
      </c>
      <c r="G155" s="21"/>
      <c r="H155" s="21"/>
      <c r="I155" s="21"/>
      <c r="J155" s="21"/>
      <c r="K155" s="21"/>
      <c r="L155" s="21"/>
      <c r="M155" s="21"/>
      <c r="N155" s="21"/>
      <c r="O155" s="21"/>
      <c r="P155" s="21"/>
      <c r="Q155" s="18">
        <v>42.0</v>
      </c>
      <c r="R155" s="21"/>
      <c r="S155" s="21"/>
      <c r="T155" s="18">
        <v>42.0</v>
      </c>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10"/>
    </row>
    <row r="156">
      <c r="A156" s="21"/>
      <c r="B156" s="21"/>
      <c r="C156" s="21"/>
      <c r="D156" s="21"/>
      <c r="E156" s="18">
        <v>5.0</v>
      </c>
      <c r="F156" s="18">
        <v>46.0</v>
      </c>
      <c r="G156" s="21"/>
      <c r="H156" s="21"/>
      <c r="I156" s="21"/>
      <c r="J156" s="21"/>
      <c r="K156" s="21"/>
      <c r="L156" s="21"/>
      <c r="M156" s="21"/>
      <c r="N156" s="21"/>
      <c r="O156" s="21"/>
      <c r="P156" s="21"/>
      <c r="Q156" s="18">
        <v>46.0</v>
      </c>
      <c r="R156" s="21"/>
      <c r="S156" s="21"/>
      <c r="T156" s="18">
        <v>46.0</v>
      </c>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c r="BE156" s="21"/>
      <c r="BF156" s="21"/>
      <c r="BG156" s="21"/>
      <c r="BH156" s="21"/>
      <c r="BI156" s="21"/>
      <c r="BJ156" s="21"/>
      <c r="BK156" s="10"/>
    </row>
    <row r="157">
      <c r="A157" s="21"/>
      <c r="B157" s="21"/>
      <c r="C157" s="21"/>
      <c r="D157" s="21"/>
      <c r="E157" s="18">
        <v>6.0</v>
      </c>
      <c r="F157" s="18">
        <v>51.0</v>
      </c>
      <c r="G157" s="21"/>
      <c r="H157" s="21"/>
      <c r="I157" s="21"/>
      <c r="J157" s="21"/>
      <c r="K157" s="21"/>
      <c r="L157" s="21"/>
      <c r="M157" s="21"/>
      <c r="N157" s="21"/>
      <c r="O157" s="21"/>
      <c r="P157" s="21"/>
      <c r="Q157" s="18">
        <v>51.0</v>
      </c>
      <c r="R157" s="21"/>
      <c r="S157" s="21"/>
      <c r="T157" s="18">
        <v>51.0</v>
      </c>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10"/>
    </row>
    <row r="158">
      <c r="A158" s="21"/>
      <c r="B158" s="21"/>
      <c r="C158" s="21"/>
      <c r="D158" s="21"/>
      <c r="E158" s="18">
        <v>7.0</v>
      </c>
      <c r="F158" s="18">
        <v>56.0</v>
      </c>
      <c r="G158" s="21"/>
      <c r="H158" s="21"/>
      <c r="I158" s="21"/>
      <c r="J158" s="21"/>
      <c r="K158" s="21"/>
      <c r="L158" s="21"/>
      <c r="M158" s="21"/>
      <c r="N158" s="21"/>
      <c r="O158" s="21"/>
      <c r="P158" s="21"/>
      <c r="Q158" s="18">
        <v>56.0</v>
      </c>
      <c r="R158" s="21"/>
      <c r="S158" s="21"/>
      <c r="T158" s="18">
        <v>56.0</v>
      </c>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10"/>
    </row>
    <row r="159">
      <c r="A159" s="21"/>
      <c r="B159" s="21"/>
      <c r="C159" s="21"/>
      <c r="D159" s="21"/>
      <c r="E159" s="18">
        <v>8.0</v>
      </c>
      <c r="F159" s="18">
        <v>61.0</v>
      </c>
      <c r="G159" s="21"/>
      <c r="H159" s="21"/>
      <c r="I159" s="21"/>
      <c r="J159" s="21"/>
      <c r="K159" s="21"/>
      <c r="L159" s="21"/>
      <c r="M159" s="21"/>
      <c r="N159" s="21"/>
      <c r="O159" s="21"/>
      <c r="P159" s="21"/>
      <c r="Q159" s="18">
        <v>61.0</v>
      </c>
      <c r="R159" s="21"/>
      <c r="S159" s="21"/>
      <c r="T159" s="18">
        <v>61.0</v>
      </c>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10"/>
    </row>
    <row r="160">
      <c r="A160" s="21"/>
      <c r="B160" s="21"/>
      <c r="C160" s="21"/>
      <c r="D160" s="21"/>
      <c r="E160" s="18">
        <v>9.0</v>
      </c>
      <c r="F160" s="18">
        <v>67.0</v>
      </c>
      <c r="G160" s="21"/>
      <c r="H160" s="21"/>
      <c r="I160" s="21"/>
      <c r="J160" s="21"/>
      <c r="K160" s="21"/>
      <c r="L160" s="21"/>
      <c r="M160" s="21"/>
      <c r="N160" s="21"/>
      <c r="O160" s="21"/>
      <c r="P160" s="21"/>
      <c r="Q160" s="18">
        <v>67.0</v>
      </c>
      <c r="R160" s="21"/>
      <c r="S160" s="21"/>
      <c r="T160" s="18">
        <v>67.0</v>
      </c>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10"/>
    </row>
    <row r="161">
      <c r="A161" s="21"/>
      <c r="B161" s="21"/>
      <c r="C161" s="21"/>
      <c r="D161" s="21"/>
      <c r="E161" s="18">
        <v>10.0</v>
      </c>
      <c r="F161" s="18">
        <v>74.0</v>
      </c>
      <c r="G161" s="21"/>
      <c r="H161" s="21"/>
      <c r="I161" s="21"/>
      <c r="J161" s="21"/>
      <c r="K161" s="21"/>
      <c r="L161" s="21"/>
      <c r="M161" s="21"/>
      <c r="N161" s="21"/>
      <c r="O161" s="21"/>
      <c r="P161" s="21"/>
      <c r="Q161" s="18">
        <v>74.0</v>
      </c>
      <c r="R161" s="21"/>
      <c r="S161" s="21"/>
      <c r="T161" s="18">
        <v>74.0</v>
      </c>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10"/>
    </row>
    <row r="162">
      <c r="A162" s="21"/>
      <c r="B162" s="21"/>
      <c r="C162" s="21"/>
      <c r="D162" s="21"/>
      <c r="E162" s="18">
        <v>11.0</v>
      </c>
      <c r="F162" s="18">
        <v>81.0</v>
      </c>
      <c r="G162" s="21"/>
      <c r="H162" s="21"/>
      <c r="I162" s="21"/>
      <c r="J162" s="21"/>
      <c r="K162" s="21"/>
      <c r="L162" s="21"/>
      <c r="M162" s="21"/>
      <c r="N162" s="21"/>
      <c r="O162" s="21"/>
      <c r="P162" s="21"/>
      <c r="Q162" s="18">
        <v>81.0</v>
      </c>
      <c r="R162" s="21"/>
      <c r="S162" s="21"/>
      <c r="T162" s="18">
        <v>81.0</v>
      </c>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10"/>
    </row>
    <row r="163">
      <c r="A163" s="21"/>
      <c r="B163" s="21"/>
      <c r="C163" s="21"/>
      <c r="D163" s="21"/>
      <c r="E163" s="18">
        <v>12.0</v>
      </c>
      <c r="F163" s="18">
        <v>89.0</v>
      </c>
      <c r="G163" s="21"/>
      <c r="H163" s="21"/>
      <c r="I163" s="21"/>
      <c r="J163" s="21"/>
      <c r="K163" s="21"/>
      <c r="L163" s="21"/>
      <c r="M163" s="21"/>
      <c r="N163" s="21"/>
      <c r="O163" s="21"/>
      <c r="P163" s="21"/>
      <c r="Q163" s="18">
        <v>89.0</v>
      </c>
      <c r="R163" s="21"/>
      <c r="S163" s="21"/>
      <c r="T163" s="18">
        <v>89.0</v>
      </c>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10"/>
    </row>
    <row r="164">
      <c r="A164" s="22"/>
      <c r="B164" s="22"/>
      <c r="C164" s="22"/>
      <c r="D164" s="22"/>
      <c r="E164" s="18">
        <v>13.0</v>
      </c>
      <c r="F164" s="18">
        <v>98.0</v>
      </c>
      <c r="G164" s="22"/>
      <c r="H164" s="22"/>
      <c r="I164" s="22"/>
      <c r="J164" s="22"/>
      <c r="K164" s="22"/>
      <c r="L164" s="22"/>
      <c r="M164" s="22"/>
      <c r="N164" s="22"/>
      <c r="O164" s="22"/>
      <c r="P164" s="22"/>
      <c r="Q164" s="18">
        <v>98.0</v>
      </c>
      <c r="R164" s="22"/>
      <c r="S164" s="22"/>
      <c r="T164" s="18">
        <v>98.0</v>
      </c>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10"/>
    </row>
    <row r="165">
      <c r="A165" s="16" t="s">
        <v>126</v>
      </c>
      <c r="B165" s="27" t="s">
        <v>101</v>
      </c>
      <c r="C165" s="16" t="s">
        <v>117</v>
      </c>
      <c r="D165" s="16">
        <v>3.0</v>
      </c>
      <c r="E165" s="18">
        <v>3.0</v>
      </c>
      <c r="F165" s="16" t="s">
        <v>85</v>
      </c>
      <c r="G165" s="16" t="s">
        <v>85</v>
      </c>
      <c r="H165" s="16" t="s">
        <v>85</v>
      </c>
      <c r="I165" s="16" t="s">
        <v>85</v>
      </c>
      <c r="J165" s="16" t="s">
        <v>85</v>
      </c>
      <c r="K165" s="16" t="s">
        <v>85</v>
      </c>
      <c r="L165" s="16" t="s">
        <v>85</v>
      </c>
      <c r="M165" s="16" t="s">
        <v>85</v>
      </c>
      <c r="N165" s="16" t="s">
        <v>85</v>
      </c>
      <c r="O165" s="16" t="s">
        <v>85</v>
      </c>
      <c r="P165" s="16" t="s">
        <v>85</v>
      </c>
      <c r="Q165" s="16" t="s">
        <v>85</v>
      </c>
      <c r="R165" s="16" t="s">
        <v>85</v>
      </c>
      <c r="S165" s="16" t="s">
        <v>85</v>
      </c>
      <c r="T165" s="18">
        <v>250.0</v>
      </c>
      <c r="U165" s="16" t="s">
        <v>85</v>
      </c>
      <c r="V165" s="16" t="s">
        <v>85</v>
      </c>
      <c r="W165" s="16" t="s">
        <v>125</v>
      </c>
      <c r="X165" s="18">
        <v>3.0</v>
      </c>
      <c r="Y165" s="16" t="s">
        <v>85</v>
      </c>
      <c r="Z165" s="16" t="s">
        <v>85</v>
      </c>
      <c r="AA165" s="16" t="s">
        <v>85</v>
      </c>
      <c r="AB165" s="16" t="s">
        <v>85</v>
      </c>
      <c r="AC165" s="16" t="s">
        <v>127</v>
      </c>
      <c r="AD165" s="16" t="s">
        <v>85</v>
      </c>
      <c r="AE165" s="16" t="s">
        <v>85</v>
      </c>
      <c r="AF165" s="16" t="s">
        <v>85</v>
      </c>
      <c r="AG165" s="16" t="s">
        <v>85</v>
      </c>
      <c r="AH165" s="16" t="s">
        <v>85</v>
      </c>
      <c r="AI165" s="16" t="s">
        <v>85</v>
      </c>
      <c r="AJ165" s="16" t="s">
        <v>85</v>
      </c>
      <c r="AK165" s="16" t="s">
        <v>85</v>
      </c>
      <c r="AL165" s="16" t="s">
        <v>128</v>
      </c>
      <c r="AM165" s="16" t="s">
        <v>85</v>
      </c>
      <c r="AN165" s="16" t="s">
        <v>85</v>
      </c>
      <c r="AO165" s="16" t="s">
        <v>85</v>
      </c>
      <c r="AP165" s="16" t="s">
        <v>85</v>
      </c>
      <c r="AQ165" s="16" t="s">
        <v>85</v>
      </c>
      <c r="AR165" s="16" t="s">
        <v>85</v>
      </c>
      <c r="AS165" s="16" t="s">
        <v>85</v>
      </c>
      <c r="AT165" s="16" t="s">
        <v>85</v>
      </c>
      <c r="AU165" s="16" t="s">
        <v>85</v>
      </c>
      <c r="AV165" s="16" t="s">
        <v>85</v>
      </c>
      <c r="AW165" s="16" t="s">
        <v>85</v>
      </c>
      <c r="AX165" s="16" t="s">
        <v>85</v>
      </c>
      <c r="AY165" s="16" t="s">
        <v>85</v>
      </c>
      <c r="AZ165" s="16" t="s">
        <v>85</v>
      </c>
      <c r="BA165" s="16" t="s">
        <v>85</v>
      </c>
      <c r="BB165" s="16" t="s">
        <v>85</v>
      </c>
      <c r="BC165" s="16" t="s">
        <v>85</v>
      </c>
      <c r="BD165" s="16" t="s">
        <v>85</v>
      </c>
      <c r="BE165" s="16" t="s">
        <v>85</v>
      </c>
      <c r="BF165" s="16" t="s">
        <v>85</v>
      </c>
      <c r="BG165" s="16" t="s">
        <v>85</v>
      </c>
      <c r="BH165" s="16" t="s">
        <v>85</v>
      </c>
      <c r="BI165" s="16" t="s">
        <v>85</v>
      </c>
      <c r="BJ165" s="16" t="s">
        <v>85</v>
      </c>
      <c r="BK165" s="10"/>
    </row>
    <row r="166">
      <c r="A166" s="21"/>
      <c r="B166" s="21"/>
      <c r="C166" s="21"/>
      <c r="D166" s="21"/>
      <c r="E166" s="18">
        <v>4.0</v>
      </c>
      <c r="F166" s="21"/>
      <c r="G166" s="21"/>
      <c r="H166" s="21"/>
      <c r="I166" s="21"/>
      <c r="J166" s="21"/>
      <c r="K166" s="21"/>
      <c r="L166" s="21"/>
      <c r="M166" s="21"/>
      <c r="N166" s="21"/>
      <c r="O166" s="21"/>
      <c r="P166" s="21"/>
      <c r="Q166" s="21"/>
      <c r="R166" s="21"/>
      <c r="S166" s="21"/>
      <c r="T166" s="19">
        <v>275.0</v>
      </c>
      <c r="U166" s="21"/>
      <c r="V166" s="21"/>
      <c r="W166" s="21"/>
      <c r="X166" s="18">
        <v>4.0</v>
      </c>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10"/>
    </row>
    <row r="167">
      <c r="A167" s="21"/>
      <c r="B167" s="21"/>
      <c r="C167" s="21"/>
      <c r="D167" s="21"/>
      <c r="E167" s="18">
        <v>5.0</v>
      </c>
      <c r="F167" s="21"/>
      <c r="G167" s="21"/>
      <c r="H167" s="21"/>
      <c r="I167" s="21"/>
      <c r="J167" s="21"/>
      <c r="K167" s="21"/>
      <c r="L167" s="21"/>
      <c r="M167" s="21"/>
      <c r="N167" s="21"/>
      <c r="O167" s="21"/>
      <c r="P167" s="21"/>
      <c r="Q167" s="21"/>
      <c r="R167" s="21"/>
      <c r="S167" s="21"/>
      <c r="T167" s="19">
        <v>302.0</v>
      </c>
      <c r="U167" s="21"/>
      <c r="V167" s="21"/>
      <c r="W167" s="21"/>
      <c r="X167" s="18">
        <v>5.0</v>
      </c>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10"/>
    </row>
    <row r="168">
      <c r="A168" s="21"/>
      <c r="B168" s="21"/>
      <c r="C168" s="21"/>
      <c r="D168" s="21"/>
      <c r="E168" s="18">
        <v>6.0</v>
      </c>
      <c r="F168" s="21"/>
      <c r="G168" s="21"/>
      <c r="H168" s="21"/>
      <c r="I168" s="21"/>
      <c r="J168" s="21"/>
      <c r="K168" s="21"/>
      <c r="L168" s="21"/>
      <c r="M168" s="21"/>
      <c r="N168" s="21"/>
      <c r="O168" s="21"/>
      <c r="P168" s="21"/>
      <c r="Q168" s="21"/>
      <c r="R168" s="21"/>
      <c r="S168" s="21"/>
      <c r="T168" s="19">
        <v>332.0</v>
      </c>
      <c r="U168" s="21"/>
      <c r="V168" s="21"/>
      <c r="W168" s="21"/>
      <c r="X168" s="18">
        <v>6.0</v>
      </c>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10"/>
    </row>
    <row r="169">
      <c r="A169" s="21"/>
      <c r="B169" s="21"/>
      <c r="C169" s="21"/>
      <c r="D169" s="21"/>
      <c r="E169" s="18">
        <v>7.0</v>
      </c>
      <c r="F169" s="21"/>
      <c r="G169" s="21"/>
      <c r="H169" s="21"/>
      <c r="I169" s="21"/>
      <c r="J169" s="21"/>
      <c r="K169" s="21"/>
      <c r="L169" s="21"/>
      <c r="M169" s="21"/>
      <c r="N169" s="21"/>
      <c r="O169" s="21"/>
      <c r="P169" s="21"/>
      <c r="Q169" s="21"/>
      <c r="R169" s="21"/>
      <c r="S169" s="21"/>
      <c r="T169" s="19">
        <v>365.0</v>
      </c>
      <c r="U169" s="21"/>
      <c r="V169" s="21"/>
      <c r="W169" s="21"/>
      <c r="X169" s="18">
        <v>7.0</v>
      </c>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10"/>
    </row>
    <row r="170">
      <c r="A170" s="21"/>
      <c r="B170" s="21"/>
      <c r="C170" s="21"/>
      <c r="D170" s="21"/>
      <c r="E170" s="18">
        <v>8.0</v>
      </c>
      <c r="F170" s="21"/>
      <c r="G170" s="21"/>
      <c r="H170" s="21"/>
      <c r="I170" s="21"/>
      <c r="J170" s="21"/>
      <c r="K170" s="21"/>
      <c r="L170" s="21"/>
      <c r="M170" s="21"/>
      <c r="N170" s="21"/>
      <c r="O170" s="21"/>
      <c r="P170" s="21"/>
      <c r="Q170" s="21"/>
      <c r="R170" s="21"/>
      <c r="S170" s="21"/>
      <c r="T170" s="19">
        <v>400.0</v>
      </c>
      <c r="U170" s="21"/>
      <c r="V170" s="21"/>
      <c r="W170" s="21"/>
      <c r="X170" s="18">
        <v>8.0</v>
      </c>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10"/>
    </row>
    <row r="171">
      <c r="A171" s="21"/>
      <c r="B171" s="21"/>
      <c r="C171" s="21"/>
      <c r="D171" s="21"/>
      <c r="E171" s="18">
        <v>9.0</v>
      </c>
      <c r="F171" s="21"/>
      <c r="G171" s="21"/>
      <c r="H171" s="21"/>
      <c r="I171" s="21"/>
      <c r="J171" s="21"/>
      <c r="K171" s="21"/>
      <c r="L171" s="21"/>
      <c r="M171" s="21"/>
      <c r="N171" s="21"/>
      <c r="O171" s="21"/>
      <c r="P171" s="21"/>
      <c r="Q171" s="21"/>
      <c r="R171" s="21"/>
      <c r="S171" s="21"/>
      <c r="T171" s="19">
        <v>440.0</v>
      </c>
      <c r="U171" s="21"/>
      <c r="V171" s="21"/>
      <c r="W171" s="21"/>
      <c r="X171" s="18">
        <v>9.0</v>
      </c>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10"/>
    </row>
    <row r="172">
      <c r="A172" s="21"/>
      <c r="B172" s="21"/>
      <c r="C172" s="21"/>
      <c r="D172" s="21"/>
      <c r="E172" s="18">
        <v>10.0</v>
      </c>
      <c r="F172" s="21"/>
      <c r="G172" s="21"/>
      <c r="H172" s="21"/>
      <c r="I172" s="21"/>
      <c r="J172" s="21"/>
      <c r="K172" s="21"/>
      <c r="L172" s="21"/>
      <c r="M172" s="21"/>
      <c r="N172" s="21"/>
      <c r="O172" s="21"/>
      <c r="P172" s="21"/>
      <c r="Q172" s="21"/>
      <c r="R172" s="21"/>
      <c r="S172" s="21"/>
      <c r="T172" s="19">
        <v>482.0</v>
      </c>
      <c r="U172" s="21"/>
      <c r="V172" s="21"/>
      <c r="W172" s="21"/>
      <c r="X172" s="18">
        <v>10.0</v>
      </c>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10"/>
    </row>
    <row r="173">
      <c r="A173" s="21"/>
      <c r="B173" s="21"/>
      <c r="C173" s="21"/>
      <c r="D173" s="21"/>
      <c r="E173" s="18">
        <v>11.0</v>
      </c>
      <c r="F173" s="21"/>
      <c r="G173" s="21"/>
      <c r="H173" s="21"/>
      <c r="I173" s="21"/>
      <c r="J173" s="21"/>
      <c r="K173" s="21"/>
      <c r="L173" s="21"/>
      <c r="M173" s="21"/>
      <c r="N173" s="21"/>
      <c r="O173" s="21"/>
      <c r="P173" s="21"/>
      <c r="Q173" s="21"/>
      <c r="R173" s="21"/>
      <c r="S173" s="21"/>
      <c r="T173" s="19">
        <v>530.0</v>
      </c>
      <c r="U173" s="21"/>
      <c r="V173" s="21"/>
      <c r="W173" s="21"/>
      <c r="X173" s="18">
        <v>11.0</v>
      </c>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10"/>
    </row>
    <row r="174">
      <c r="A174" s="21"/>
      <c r="B174" s="21"/>
      <c r="C174" s="21"/>
      <c r="D174" s="21"/>
      <c r="E174" s="18">
        <v>12.0</v>
      </c>
      <c r="F174" s="21"/>
      <c r="G174" s="21"/>
      <c r="H174" s="21"/>
      <c r="I174" s="21"/>
      <c r="J174" s="21"/>
      <c r="K174" s="21"/>
      <c r="L174" s="21"/>
      <c r="M174" s="21"/>
      <c r="N174" s="21"/>
      <c r="O174" s="21"/>
      <c r="P174" s="21"/>
      <c r="Q174" s="21"/>
      <c r="R174" s="21"/>
      <c r="S174" s="21"/>
      <c r="T174" s="19">
        <v>582.0</v>
      </c>
      <c r="U174" s="21"/>
      <c r="V174" s="21"/>
      <c r="W174" s="21"/>
      <c r="X174" s="18">
        <v>12.0</v>
      </c>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10"/>
    </row>
    <row r="175">
      <c r="A175" s="22"/>
      <c r="B175" s="22"/>
      <c r="C175" s="22"/>
      <c r="D175" s="22"/>
      <c r="E175" s="18">
        <v>13.0</v>
      </c>
      <c r="F175" s="22"/>
      <c r="G175" s="22"/>
      <c r="H175" s="22"/>
      <c r="I175" s="22"/>
      <c r="J175" s="22"/>
      <c r="K175" s="22"/>
      <c r="L175" s="22"/>
      <c r="M175" s="22"/>
      <c r="N175" s="22"/>
      <c r="O175" s="22"/>
      <c r="P175" s="22"/>
      <c r="Q175" s="22"/>
      <c r="R175" s="22"/>
      <c r="S175" s="22"/>
      <c r="T175" s="19">
        <v>640.0</v>
      </c>
      <c r="U175" s="22"/>
      <c r="V175" s="22"/>
      <c r="W175" s="22"/>
      <c r="X175" s="18">
        <v>13.0</v>
      </c>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10"/>
    </row>
    <row r="176">
      <c r="A176" s="16" t="s">
        <v>129</v>
      </c>
      <c r="B176" s="27" t="s">
        <v>101</v>
      </c>
      <c r="C176" s="16" t="s">
        <v>87</v>
      </c>
      <c r="D176" s="16">
        <v>4.0</v>
      </c>
      <c r="E176" s="18">
        <v>3.0</v>
      </c>
      <c r="F176" s="16" t="s">
        <v>85</v>
      </c>
      <c r="G176" s="18">
        <v>126.0</v>
      </c>
      <c r="H176" s="16" t="s">
        <v>85</v>
      </c>
      <c r="I176" s="16" t="s">
        <v>85</v>
      </c>
      <c r="J176" s="16" t="s">
        <v>85</v>
      </c>
      <c r="K176" s="16" t="s">
        <v>85</v>
      </c>
      <c r="L176" s="16" t="s">
        <v>85</v>
      </c>
      <c r="M176" s="16" t="s">
        <v>85</v>
      </c>
      <c r="N176" s="16" t="s">
        <v>85</v>
      </c>
      <c r="O176" s="16" t="s">
        <v>85</v>
      </c>
      <c r="P176" s="16" t="s">
        <v>85</v>
      </c>
      <c r="Q176" s="18">
        <v>84.0</v>
      </c>
      <c r="R176" s="16" t="s">
        <v>85</v>
      </c>
      <c r="S176" s="16" t="s">
        <v>85</v>
      </c>
      <c r="T176" s="18">
        <v>940.0</v>
      </c>
      <c r="U176" s="16" t="s">
        <v>85</v>
      </c>
      <c r="V176" s="16" t="s">
        <v>85</v>
      </c>
      <c r="W176" s="16" t="s">
        <v>85</v>
      </c>
      <c r="X176" s="16" t="s">
        <v>85</v>
      </c>
      <c r="Y176" s="16" t="s">
        <v>85</v>
      </c>
      <c r="Z176" s="16" t="s">
        <v>85</v>
      </c>
      <c r="AA176" s="16" t="s">
        <v>85</v>
      </c>
      <c r="AB176" s="16" t="s">
        <v>85</v>
      </c>
      <c r="AC176" s="16" t="s">
        <v>85</v>
      </c>
      <c r="AD176" s="16" t="s">
        <v>85</v>
      </c>
      <c r="AE176" s="16" t="s">
        <v>108</v>
      </c>
      <c r="AF176" s="16" t="s">
        <v>98</v>
      </c>
      <c r="AG176" s="16" t="s">
        <v>95</v>
      </c>
      <c r="AH176" s="16" t="s">
        <v>85</v>
      </c>
      <c r="AI176" s="16" t="s">
        <v>99</v>
      </c>
      <c r="AJ176" s="16" t="s">
        <v>85</v>
      </c>
      <c r="AK176" s="16" t="s">
        <v>85</v>
      </c>
      <c r="AL176" s="16" t="s">
        <v>85</v>
      </c>
      <c r="AM176" s="16" t="s">
        <v>85</v>
      </c>
      <c r="AN176" s="16" t="s">
        <v>85</v>
      </c>
      <c r="AO176" s="16" t="s">
        <v>85</v>
      </c>
      <c r="AP176" s="16" t="s">
        <v>85</v>
      </c>
      <c r="AQ176" s="16" t="s">
        <v>85</v>
      </c>
      <c r="AR176" s="16" t="s">
        <v>85</v>
      </c>
      <c r="AS176" s="16" t="s">
        <v>85</v>
      </c>
      <c r="AT176" s="16" t="s">
        <v>85</v>
      </c>
      <c r="AU176" s="16" t="s">
        <v>85</v>
      </c>
      <c r="AV176" s="16" t="s">
        <v>85</v>
      </c>
      <c r="AW176" s="16" t="s">
        <v>85</v>
      </c>
      <c r="AX176" s="16" t="s">
        <v>85</v>
      </c>
      <c r="AY176" s="16" t="s">
        <v>85</v>
      </c>
      <c r="AZ176" s="16" t="s">
        <v>85</v>
      </c>
      <c r="BA176" s="16" t="s">
        <v>85</v>
      </c>
      <c r="BB176" s="16" t="s">
        <v>85</v>
      </c>
      <c r="BC176" s="16" t="s">
        <v>85</v>
      </c>
      <c r="BD176" s="16" t="s">
        <v>85</v>
      </c>
      <c r="BE176" s="16" t="s">
        <v>85</v>
      </c>
      <c r="BF176" s="16" t="s">
        <v>85</v>
      </c>
      <c r="BG176" s="16" t="s">
        <v>85</v>
      </c>
      <c r="BH176" s="16" t="s">
        <v>85</v>
      </c>
      <c r="BI176" s="16" t="s">
        <v>85</v>
      </c>
      <c r="BJ176" s="16" t="s">
        <v>85</v>
      </c>
      <c r="BK176" s="10"/>
    </row>
    <row r="177">
      <c r="A177" s="21"/>
      <c r="B177" s="21"/>
      <c r="C177" s="21"/>
      <c r="D177" s="21"/>
      <c r="E177" s="18">
        <v>4.0</v>
      </c>
      <c r="F177" s="21"/>
      <c r="G177" s="18">
        <v>138.0</v>
      </c>
      <c r="H177" s="21"/>
      <c r="I177" s="21"/>
      <c r="J177" s="21"/>
      <c r="K177" s="21"/>
      <c r="L177" s="21"/>
      <c r="M177" s="21"/>
      <c r="N177" s="21"/>
      <c r="O177" s="21"/>
      <c r="P177" s="21"/>
      <c r="Q177" s="18">
        <v>92.0</v>
      </c>
      <c r="R177" s="21"/>
      <c r="S177" s="21"/>
      <c r="T177" s="19">
        <v>1034.0</v>
      </c>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10"/>
    </row>
    <row r="178">
      <c r="A178" s="21"/>
      <c r="B178" s="21"/>
      <c r="C178" s="21"/>
      <c r="D178" s="21"/>
      <c r="E178" s="18">
        <v>5.0</v>
      </c>
      <c r="F178" s="21"/>
      <c r="G178" s="18">
        <v>152.0</v>
      </c>
      <c r="H178" s="21"/>
      <c r="I178" s="21"/>
      <c r="J178" s="21"/>
      <c r="K178" s="21"/>
      <c r="L178" s="21"/>
      <c r="M178" s="21"/>
      <c r="N178" s="21"/>
      <c r="O178" s="21"/>
      <c r="P178" s="21"/>
      <c r="Q178" s="18">
        <v>101.0</v>
      </c>
      <c r="R178" s="21"/>
      <c r="S178" s="21"/>
      <c r="T178" s="19">
        <v>1137.0</v>
      </c>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10"/>
    </row>
    <row r="179">
      <c r="A179" s="21"/>
      <c r="B179" s="21"/>
      <c r="C179" s="21"/>
      <c r="D179" s="21"/>
      <c r="E179" s="18">
        <v>6.0</v>
      </c>
      <c r="F179" s="21"/>
      <c r="G179" s="18">
        <v>167.0</v>
      </c>
      <c r="H179" s="21"/>
      <c r="I179" s="21"/>
      <c r="J179" s="21"/>
      <c r="K179" s="21"/>
      <c r="L179" s="21"/>
      <c r="M179" s="21"/>
      <c r="N179" s="21"/>
      <c r="O179" s="21"/>
      <c r="P179" s="21"/>
      <c r="Q179" s="18">
        <v>111.0</v>
      </c>
      <c r="R179" s="21"/>
      <c r="S179" s="21"/>
      <c r="T179" s="19">
        <v>1250.0</v>
      </c>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10"/>
    </row>
    <row r="180">
      <c r="A180" s="21"/>
      <c r="B180" s="21"/>
      <c r="C180" s="21"/>
      <c r="D180" s="21"/>
      <c r="E180" s="18">
        <v>7.0</v>
      </c>
      <c r="F180" s="21"/>
      <c r="G180" s="18">
        <v>183.0</v>
      </c>
      <c r="H180" s="21"/>
      <c r="I180" s="21"/>
      <c r="J180" s="21"/>
      <c r="K180" s="21"/>
      <c r="L180" s="21"/>
      <c r="M180" s="21"/>
      <c r="N180" s="21"/>
      <c r="O180" s="21"/>
      <c r="P180" s="21"/>
      <c r="Q180" s="18">
        <v>122.0</v>
      </c>
      <c r="R180" s="21"/>
      <c r="S180" s="21"/>
      <c r="T180" s="19">
        <v>1372.0</v>
      </c>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10"/>
    </row>
    <row r="181">
      <c r="A181" s="21"/>
      <c r="B181" s="21"/>
      <c r="C181" s="21"/>
      <c r="D181" s="21"/>
      <c r="E181" s="18">
        <v>8.0</v>
      </c>
      <c r="F181" s="21"/>
      <c r="G181" s="18">
        <v>201.0</v>
      </c>
      <c r="H181" s="21"/>
      <c r="I181" s="21"/>
      <c r="J181" s="21"/>
      <c r="K181" s="21"/>
      <c r="L181" s="21"/>
      <c r="M181" s="21"/>
      <c r="N181" s="21"/>
      <c r="O181" s="21"/>
      <c r="P181" s="21"/>
      <c r="Q181" s="18">
        <v>134.0</v>
      </c>
      <c r="R181" s="21"/>
      <c r="S181" s="21"/>
      <c r="T181" s="19">
        <v>1504.0</v>
      </c>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10"/>
    </row>
    <row r="182">
      <c r="A182" s="21"/>
      <c r="B182" s="21"/>
      <c r="C182" s="21"/>
      <c r="D182" s="21"/>
      <c r="E182" s="18">
        <v>9.0</v>
      </c>
      <c r="F182" s="21"/>
      <c r="G182" s="18">
        <v>221.0</v>
      </c>
      <c r="H182" s="21"/>
      <c r="I182" s="21"/>
      <c r="J182" s="21"/>
      <c r="K182" s="21"/>
      <c r="L182" s="21"/>
      <c r="M182" s="21"/>
      <c r="N182" s="21"/>
      <c r="O182" s="21"/>
      <c r="P182" s="21"/>
      <c r="Q182" s="18">
        <v>147.0</v>
      </c>
      <c r="R182" s="21"/>
      <c r="S182" s="21"/>
      <c r="T182" s="19">
        <v>1654.0</v>
      </c>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10"/>
    </row>
    <row r="183">
      <c r="A183" s="21"/>
      <c r="B183" s="21"/>
      <c r="C183" s="21"/>
      <c r="D183" s="21"/>
      <c r="E183" s="18">
        <v>10.0</v>
      </c>
      <c r="F183" s="21"/>
      <c r="G183" s="18">
        <v>243.0</v>
      </c>
      <c r="H183" s="21"/>
      <c r="I183" s="21"/>
      <c r="J183" s="21"/>
      <c r="K183" s="21"/>
      <c r="L183" s="21"/>
      <c r="M183" s="21"/>
      <c r="N183" s="21"/>
      <c r="O183" s="21"/>
      <c r="P183" s="21"/>
      <c r="Q183" s="18">
        <v>162.0</v>
      </c>
      <c r="R183" s="21"/>
      <c r="S183" s="21"/>
      <c r="T183" s="19">
        <v>1814.0</v>
      </c>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10"/>
    </row>
    <row r="184">
      <c r="A184" s="21"/>
      <c r="B184" s="21"/>
      <c r="C184" s="21"/>
      <c r="D184" s="21"/>
      <c r="E184" s="18">
        <v>11.0</v>
      </c>
      <c r="F184" s="21"/>
      <c r="G184" s="18">
        <v>267.0</v>
      </c>
      <c r="H184" s="21"/>
      <c r="I184" s="21"/>
      <c r="J184" s="21"/>
      <c r="K184" s="21"/>
      <c r="L184" s="21"/>
      <c r="M184" s="21"/>
      <c r="N184" s="21"/>
      <c r="O184" s="21"/>
      <c r="P184" s="21"/>
      <c r="Q184" s="18">
        <v>178.0</v>
      </c>
      <c r="R184" s="21"/>
      <c r="S184" s="21"/>
      <c r="T184" s="19">
        <v>1992.0</v>
      </c>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10"/>
    </row>
    <row r="185">
      <c r="A185" s="21"/>
      <c r="B185" s="21"/>
      <c r="C185" s="21"/>
      <c r="D185" s="21"/>
      <c r="E185" s="18">
        <v>12.0</v>
      </c>
      <c r="F185" s="21"/>
      <c r="G185" s="18">
        <v>293.0</v>
      </c>
      <c r="H185" s="21"/>
      <c r="I185" s="21"/>
      <c r="J185" s="21"/>
      <c r="K185" s="21"/>
      <c r="L185" s="21"/>
      <c r="M185" s="21"/>
      <c r="N185" s="21"/>
      <c r="O185" s="21"/>
      <c r="P185" s="21"/>
      <c r="Q185" s="18">
        <v>195.0</v>
      </c>
      <c r="R185" s="21"/>
      <c r="S185" s="21"/>
      <c r="T185" s="19">
        <v>2190.0</v>
      </c>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10"/>
    </row>
    <row r="186">
      <c r="A186" s="22"/>
      <c r="B186" s="22"/>
      <c r="C186" s="22"/>
      <c r="D186" s="22"/>
      <c r="E186" s="18">
        <v>13.0</v>
      </c>
      <c r="F186" s="22"/>
      <c r="G186" s="18">
        <v>322.0</v>
      </c>
      <c r="H186" s="22"/>
      <c r="I186" s="22"/>
      <c r="J186" s="22"/>
      <c r="K186" s="22"/>
      <c r="L186" s="22"/>
      <c r="M186" s="22"/>
      <c r="N186" s="22"/>
      <c r="O186" s="22"/>
      <c r="P186" s="22"/>
      <c r="Q186" s="18">
        <v>214.0</v>
      </c>
      <c r="R186" s="22"/>
      <c r="S186" s="22"/>
      <c r="T186" s="19">
        <v>2406.0</v>
      </c>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10"/>
    </row>
    <row r="187">
      <c r="A187" s="16" t="s">
        <v>130</v>
      </c>
      <c r="B187" s="30" t="s">
        <v>131</v>
      </c>
      <c r="C187" s="16" t="s">
        <v>87</v>
      </c>
      <c r="D187" s="16">
        <v>4.0</v>
      </c>
      <c r="E187" s="18">
        <v>6.0</v>
      </c>
      <c r="F187" s="16" t="s">
        <v>85</v>
      </c>
      <c r="G187" s="18">
        <v>100.0</v>
      </c>
      <c r="H187" s="16" t="s">
        <v>85</v>
      </c>
      <c r="I187" s="16" t="s">
        <v>85</v>
      </c>
      <c r="J187" s="16" t="s">
        <v>85</v>
      </c>
      <c r="K187" s="16" t="s">
        <v>85</v>
      </c>
      <c r="L187" s="16" t="s">
        <v>85</v>
      </c>
      <c r="M187" s="16" t="s">
        <v>85</v>
      </c>
      <c r="N187" s="16" t="s">
        <v>85</v>
      </c>
      <c r="O187" s="16" t="s">
        <v>85</v>
      </c>
      <c r="P187" s="16" t="s">
        <v>85</v>
      </c>
      <c r="Q187" s="18">
        <v>66.0</v>
      </c>
      <c r="R187" s="16" t="s">
        <v>85</v>
      </c>
      <c r="S187" s="16" t="s">
        <v>85</v>
      </c>
      <c r="T187" s="18">
        <v>720.0</v>
      </c>
      <c r="U187" s="16" t="s">
        <v>85</v>
      </c>
      <c r="V187" s="16" t="s">
        <v>85</v>
      </c>
      <c r="W187" s="16" t="s">
        <v>85</v>
      </c>
      <c r="X187" s="16" t="s">
        <v>85</v>
      </c>
      <c r="Y187" s="16" t="s">
        <v>85</v>
      </c>
      <c r="Z187" s="16" t="s">
        <v>85</v>
      </c>
      <c r="AA187" s="16" t="s">
        <v>85</v>
      </c>
      <c r="AB187" s="16" t="s">
        <v>85</v>
      </c>
      <c r="AC187" s="16" t="s">
        <v>85</v>
      </c>
      <c r="AD187" s="16" t="s">
        <v>85</v>
      </c>
      <c r="AE187" s="16" t="s">
        <v>108</v>
      </c>
      <c r="AF187" s="16" t="s">
        <v>89</v>
      </c>
      <c r="AG187" s="16" t="s">
        <v>90</v>
      </c>
      <c r="AH187" s="16" t="s">
        <v>85</v>
      </c>
      <c r="AI187" s="16">
        <v>3.5</v>
      </c>
      <c r="AJ187" s="16" t="s">
        <v>85</v>
      </c>
      <c r="AK187" s="16" t="s">
        <v>85</v>
      </c>
      <c r="AL187" s="16" t="s">
        <v>85</v>
      </c>
      <c r="AM187" s="16" t="s">
        <v>85</v>
      </c>
      <c r="AN187" s="16" t="s">
        <v>85</v>
      </c>
      <c r="AO187" s="16" t="s">
        <v>85</v>
      </c>
      <c r="AP187" s="16" t="s">
        <v>85</v>
      </c>
      <c r="AQ187" s="16" t="s">
        <v>85</v>
      </c>
      <c r="AR187" s="16" t="s">
        <v>85</v>
      </c>
      <c r="AS187" s="16" t="s">
        <v>85</v>
      </c>
      <c r="AT187" s="16" t="s">
        <v>85</v>
      </c>
      <c r="AU187" s="16" t="s">
        <v>85</v>
      </c>
      <c r="AV187" s="16" t="s">
        <v>85</v>
      </c>
      <c r="AW187" s="16" t="s">
        <v>85</v>
      </c>
      <c r="AX187" s="16" t="s">
        <v>85</v>
      </c>
      <c r="AY187" s="16" t="s">
        <v>85</v>
      </c>
      <c r="AZ187" s="16" t="s">
        <v>85</v>
      </c>
      <c r="BA187" s="16" t="s">
        <v>85</v>
      </c>
      <c r="BB187" s="16" t="s">
        <v>85</v>
      </c>
      <c r="BC187" s="16" t="s">
        <v>85</v>
      </c>
      <c r="BD187" s="16" t="s">
        <v>85</v>
      </c>
      <c r="BE187" s="16" t="s">
        <v>85</v>
      </c>
      <c r="BF187" s="16" t="s">
        <v>85</v>
      </c>
      <c r="BG187" s="16" t="s">
        <v>85</v>
      </c>
      <c r="BH187" s="16" t="s">
        <v>85</v>
      </c>
      <c r="BI187" s="16" t="s">
        <v>85</v>
      </c>
      <c r="BJ187" s="16" t="s">
        <v>85</v>
      </c>
      <c r="BK187" s="20"/>
    </row>
    <row r="188">
      <c r="A188" s="21"/>
      <c r="B188" s="21"/>
      <c r="C188" s="21"/>
      <c r="D188" s="21"/>
      <c r="E188" s="18">
        <v>7.0</v>
      </c>
      <c r="F188" s="21"/>
      <c r="G188" s="18">
        <v>110.0</v>
      </c>
      <c r="H188" s="21"/>
      <c r="I188" s="21"/>
      <c r="J188" s="21"/>
      <c r="K188" s="21"/>
      <c r="L188" s="21"/>
      <c r="M188" s="21"/>
      <c r="N188" s="21"/>
      <c r="O188" s="21"/>
      <c r="P188" s="21"/>
      <c r="Q188" s="18">
        <v>73.0</v>
      </c>
      <c r="R188" s="21"/>
      <c r="S188" s="21"/>
      <c r="T188" s="19">
        <v>792.0</v>
      </c>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0"/>
    </row>
    <row r="189">
      <c r="A189" s="21"/>
      <c r="B189" s="21"/>
      <c r="C189" s="21"/>
      <c r="D189" s="21"/>
      <c r="E189" s="18">
        <v>8.0</v>
      </c>
      <c r="F189" s="21"/>
      <c r="G189" s="18">
        <v>121.0</v>
      </c>
      <c r="H189" s="21"/>
      <c r="I189" s="21"/>
      <c r="J189" s="21"/>
      <c r="K189" s="21"/>
      <c r="L189" s="21"/>
      <c r="M189" s="21"/>
      <c r="N189" s="21"/>
      <c r="O189" s="21"/>
      <c r="P189" s="21"/>
      <c r="Q189" s="18">
        <v>80.0</v>
      </c>
      <c r="R189" s="21"/>
      <c r="S189" s="21"/>
      <c r="T189" s="19">
        <v>871.0</v>
      </c>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0"/>
    </row>
    <row r="190">
      <c r="A190" s="21"/>
      <c r="B190" s="21"/>
      <c r="C190" s="21"/>
      <c r="D190" s="21"/>
      <c r="E190" s="18">
        <v>9.0</v>
      </c>
      <c r="F190" s="21"/>
      <c r="G190" s="18">
        <v>133.0</v>
      </c>
      <c r="H190" s="21"/>
      <c r="I190" s="21"/>
      <c r="J190" s="21"/>
      <c r="K190" s="21"/>
      <c r="L190" s="21"/>
      <c r="M190" s="21"/>
      <c r="N190" s="21"/>
      <c r="O190" s="21"/>
      <c r="P190" s="21"/>
      <c r="Q190" s="18">
        <v>88.0</v>
      </c>
      <c r="R190" s="21"/>
      <c r="S190" s="21"/>
      <c r="T190" s="19">
        <v>957.0</v>
      </c>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0"/>
    </row>
    <row r="191">
      <c r="A191" s="21"/>
      <c r="B191" s="21"/>
      <c r="C191" s="21"/>
      <c r="D191" s="21"/>
      <c r="E191" s="18">
        <v>10.0</v>
      </c>
      <c r="F191" s="21"/>
      <c r="G191" s="18">
        <v>146.0</v>
      </c>
      <c r="H191" s="21"/>
      <c r="I191" s="21"/>
      <c r="J191" s="21"/>
      <c r="K191" s="21"/>
      <c r="L191" s="21"/>
      <c r="M191" s="21"/>
      <c r="N191" s="21"/>
      <c r="O191" s="21"/>
      <c r="P191" s="21"/>
      <c r="Q191" s="18">
        <v>97.0</v>
      </c>
      <c r="R191" s="21"/>
      <c r="S191" s="21"/>
      <c r="T191" s="19">
        <v>1051.0</v>
      </c>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0"/>
    </row>
    <row r="192">
      <c r="A192" s="21"/>
      <c r="B192" s="21"/>
      <c r="C192" s="21"/>
      <c r="D192" s="21"/>
      <c r="E192" s="18">
        <v>11.0</v>
      </c>
      <c r="F192" s="21"/>
      <c r="G192" s="18">
        <v>160.0</v>
      </c>
      <c r="H192" s="21"/>
      <c r="I192" s="21"/>
      <c r="J192" s="21"/>
      <c r="K192" s="21"/>
      <c r="L192" s="21"/>
      <c r="M192" s="21"/>
      <c r="N192" s="21"/>
      <c r="O192" s="21"/>
      <c r="P192" s="21"/>
      <c r="Q192" s="18">
        <v>106.0</v>
      </c>
      <c r="R192" s="21"/>
      <c r="S192" s="21"/>
      <c r="T192" s="19">
        <v>1152.0</v>
      </c>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0"/>
    </row>
    <row r="193">
      <c r="A193" s="21"/>
      <c r="B193" s="21"/>
      <c r="C193" s="21"/>
      <c r="D193" s="21"/>
      <c r="E193" s="18">
        <v>12.0</v>
      </c>
      <c r="F193" s="21"/>
      <c r="G193" s="18">
        <v>176.0</v>
      </c>
      <c r="H193" s="21"/>
      <c r="I193" s="21"/>
      <c r="J193" s="21"/>
      <c r="K193" s="21"/>
      <c r="L193" s="21"/>
      <c r="M193" s="21"/>
      <c r="N193" s="21"/>
      <c r="O193" s="21"/>
      <c r="P193" s="21"/>
      <c r="Q193" s="18">
        <v>117.0</v>
      </c>
      <c r="R193" s="21"/>
      <c r="S193" s="21"/>
      <c r="T193" s="19">
        <v>1267.0</v>
      </c>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0"/>
    </row>
    <row r="194">
      <c r="A194" s="22"/>
      <c r="B194" s="22"/>
      <c r="C194" s="22"/>
      <c r="D194" s="22"/>
      <c r="E194" s="18">
        <v>13.0</v>
      </c>
      <c r="F194" s="22"/>
      <c r="G194" s="18">
        <v>193.0</v>
      </c>
      <c r="H194" s="22"/>
      <c r="I194" s="22"/>
      <c r="J194" s="22"/>
      <c r="K194" s="22"/>
      <c r="L194" s="22"/>
      <c r="M194" s="22"/>
      <c r="N194" s="22"/>
      <c r="O194" s="22"/>
      <c r="P194" s="22"/>
      <c r="Q194" s="18">
        <v>128.0</v>
      </c>
      <c r="R194" s="22"/>
      <c r="S194" s="22"/>
      <c r="T194" s="19">
        <v>1389.0</v>
      </c>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0"/>
    </row>
    <row r="195">
      <c r="A195" s="16" t="s">
        <v>132</v>
      </c>
      <c r="B195" s="30" t="s">
        <v>131</v>
      </c>
      <c r="C195" s="16" t="s">
        <v>87</v>
      </c>
      <c r="D195" s="16">
        <v>3.0</v>
      </c>
      <c r="E195" s="18">
        <v>6.0</v>
      </c>
      <c r="F195" s="16" t="s">
        <v>85</v>
      </c>
      <c r="G195" s="16" t="s">
        <v>85</v>
      </c>
      <c r="H195" s="16" t="s">
        <v>85</v>
      </c>
      <c r="I195" s="16" t="s">
        <v>85</v>
      </c>
      <c r="J195" s="16" t="s">
        <v>85</v>
      </c>
      <c r="K195" s="16" t="s">
        <v>85</v>
      </c>
      <c r="L195" s="16" t="s">
        <v>85</v>
      </c>
      <c r="M195" s="16" t="s">
        <v>85</v>
      </c>
      <c r="N195" s="16" t="s">
        <v>85</v>
      </c>
      <c r="O195" s="16" t="s">
        <v>85</v>
      </c>
      <c r="P195" s="16" t="s">
        <v>85</v>
      </c>
      <c r="Q195" s="16" t="s">
        <v>85</v>
      </c>
      <c r="R195" s="16" t="s">
        <v>85</v>
      </c>
      <c r="S195" s="16" t="s">
        <v>85</v>
      </c>
      <c r="T195" s="16" t="s">
        <v>85</v>
      </c>
      <c r="U195" s="16" t="s">
        <v>85</v>
      </c>
      <c r="V195" s="16" t="s">
        <v>85</v>
      </c>
      <c r="W195" s="16" t="s">
        <v>125</v>
      </c>
      <c r="X195" s="18">
        <v>6.0</v>
      </c>
      <c r="Y195" s="16" t="s">
        <v>85</v>
      </c>
      <c r="Z195" s="16" t="s">
        <v>85</v>
      </c>
      <c r="AA195" s="16" t="s">
        <v>85</v>
      </c>
      <c r="AB195" s="16" t="s">
        <v>85</v>
      </c>
      <c r="AC195" s="16" t="s">
        <v>85</v>
      </c>
      <c r="AD195" s="16" t="s">
        <v>85</v>
      </c>
      <c r="AE195" s="16" t="s">
        <v>85</v>
      </c>
      <c r="AF195" s="16" t="s">
        <v>85</v>
      </c>
      <c r="AG195" s="16" t="s">
        <v>85</v>
      </c>
      <c r="AH195" s="16" t="s">
        <v>85</v>
      </c>
      <c r="AI195" s="16" t="s">
        <v>85</v>
      </c>
      <c r="AJ195" s="16" t="s">
        <v>85</v>
      </c>
      <c r="AK195" s="16" t="s">
        <v>85</v>
      </c>
      <c r="AL195" s="16" t="s">
        <v>85</v>
      </c>
      <c r="AM195" s="16" t="s">
        <v>85</v>
      </c>
      <c r="AN195" s="16" t="s">
        <v>133</v>
      </c>
      <c r="AO195" s="16" t="s">
        <v>85</v>
      </c>
      <c r="AP195" s="16" t="s">
        <v>85</v>
      </c>
      <c r="AQ195" s="16" t="s">
        <v>85</v>
      </c>
      <c r="AR195" s="16" t="s">
        <v>85</v>
      </c>
      <c r="AS195" s="16" t="s">
        <v>85</v>
      </c>
      <c r="AT195" s="16" t="s">
        <v>85</v>
      </c>
      <c r="AU195" s="16" t="s">
        <v>85</v>
      </c>
      <c r="AV195" s="16" t="s">
        <v>85</v>
      </c>
      <c r="AW195" s="16" t="s">
        <v>85</v>
      </c>
      <c r="AX195" s="16" t="s">
        <v>85</v>
      </c>
      <c r="AY195" s="16" t="s">
        <v>85</v>
      </c>
      <c r="AZ195" s="16" t="s">
        <v>85</v>
      </c>
      <c r="BA195" s="16" t="s">
        <v>85</v>
      </c>
      <c r="BB195" s="16" t="s">
        <v>85</v>
      </c>
      <c r="BC195" s="16" t="s">
        <v>85</v>
      </c>
      <c r="BD195" s="16" t="s">
        <v>85</v>
      </c>
      <c r="BE195" s="16" t="s">
        <v>85</v>
      </c>
      <c r="BF195" s="16" t="s">
        <v>85</v>
      </c>
      <c r="BG195" s="16" t="s">
        <v>85</v>
      </c>
      <c r="BH195" s="16" t="s">
        <v>85</v>
      </c>
      <c r="BI195" s="16" t="s">
        <v>85</v>
      </c>
      <c r="BJ195" s="16" t="s">
        <v>85</v>
      </c>
      <c r="BK195" s="25"/>
    </row>
    <row r="196">
      <c r="A196" s="21"/>
      <c r="B196" s="21"/>
      <c r="C196" s="21"/>
      <c r="D196" s="21"/>
      <c r="E196" s="18">
        <v>7.0</v>
      </c>
      <c r="F196" s="21"/>
      <c r="G196" s="21"/>
      <c r="H196" s="21"/>
      <c r="I196" s="21"/>
      <c r="J196" s="21"/>
      <c r="K196" s="21"/>
      <c r="L196" s="21"/>
      <c r="M196" s="21"/>
      <c r="N196" s="21"/>
      <c r="O196" s="21"/>
      <c r="P196" s="21"/>
      <c r="Q196" s="21"/>
      <c r="R196" s="21"/>
      <c r="S196" s="21"/>
      <c r="T196" s="21"/>
      <c r="U196" s="21"/>
      <c r="V196" s="21"/>
      <c r="W196" s="21"/>
      <c r="X196" s="18">
        <v>7.0</v>
      </c>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5"/>
    </row>
    <row r="197">
      <c r="A197" s="21"/>
      <c r="B197" s="21"/>
      <c r="C197" s="21"/>
      <c r="D197" s="21"/>
      <c r="E197" s="18">
        <v>8.0</v>
      </c>
      <c r="F197" s="21"/>
      <c r="G197" s="21"/>
      <c r="H197" s="21"/>
      <c r="I197" s="21"/>
      <c r="J197" s="21"/>
      <c r="K197" s="21"/>
      <c r="L197" s="21"/>
      <c r="M197" s="21"/>
      <c r="N197" s="21"/>
      <c r="O197" s="21"/>
      <c r="P197" s="21"/>
      <c r="Q197" s="21"/>
      <c r="R197" s="21"/>
      <c r="S197" s="21"/>
      <c r="T197" s="21"/>
      <c r="U197" s="21"/>
      <c r="V197" s="21"/>
      <c r="W197" s="21"/>
      <c r="X197" s="18">
        <v>8.0</v>
      </c>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5"/>
    </row>
    <row r="198">
      <c r="A198" s="21"/>
      <c r="B198" s="21"/>
      <c r="C198" s="21"/>
      <c r="D198" s="21"/>
      <c r="E198" s="18">
        <v>9.0</v>
      </c>
      <c r="F198" s="21"/>
      <c r="G198" s="21"/>
      <c r="H198" s="21"/>
      <c r="I198" s="21"/>
      <c r="J198" s="21"/>
      <c r="K198" s="21"/>
      <c r="L198" s="21"/>
      <c r="M198" s="21"/>
      <c r="N198" s="21"/>
      <c r="O198" s="21"/>
      <c r="P198" s="21"/>
      <c r="Q198" s="21"/>
      <c r="R198" s="21"/>
      <c r="S198" s="21"/>
      <c r="T198" s="21"/>
      <c r="U198" s="21"/>
      <c r="V198" s="21"/>
      <c r="W198" s="21"/>
      <c r="X198" s="18">
        <v>9.0</v>
      </c>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5"/>
    </row>
    <row r="199">
      <c r="A199" s="21"/>
      <c r="B199" s="21"/>
      <c r="C199" s="21"/>
      <c r="D199" s="21"/>
      <c r="E199" s="18">
        <v>10.0</v>
      </c>
      <c r="F199" s="21"/>
      <c r="G199" s="21"/>
      <c r="H199" s="21"/>
      <c r="I199" s="21"/>
      <c r="J199" s="21"/>
      <c r="K199" s="21"/>
      <c r="L199" s="21"/>
      <c r="M199" s="21"/>
      <c r="N199" s="21"/>
      <c r="O199" s="21"/>
      <c r="P199" s="21"/>
      <c r="Q199" s="21"/>
      <c r="R199" s="21"/>
      <c r="S199" s="21"/>
      <c r="T199" s="21"/>
      <c r="U199" s="21"/>
      <c r="V199" s="21"/>
      <c r="W199" s="21"/>
      <c r="X199" s="18">
        <v>10.0</v>
      </c>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5"/>
    </row>
    <row r="200">
      <c r="A200" s="21"/>
      <c r="B200" s="21"/>
      <c r="C200" s="21"/>
      <c r="D200" s="21"/>
      <c r="E200" s="18">
        <v>11.0</v>
      </c>
      <c r="F200" s="21"/>
      <c r="G200" s="21"/>
      <c r="H200" s="21"/>
      <c r="I200" s="21"/>
      <c r="J200" s="21"/>
      <c r="K200" s="21"/>
      <c r="L200" s="21"/>
      <c r="M200" s="21"/>
      <c r="N200" s="21"/>
      <c r="O200" s="21"/>
      <c r="P200" s="21"/>
      <c r="Q200" s="21"/>
      <c r="R200" s="21"/>
      <c r="S200" s="21"/>
      <c r="T200" s="21"/>
      <c r="U200" s="21"/>
      <c r="V200" s="21"/>
      <c r="W200" s="21"/>
      <c r="X200" s="18">
        <v>11.0</v>
      </c>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5"/>
    </row>
    <row r="201">
      <c r="A201" s="21"/>
      <c r="B201" s="21"/>
      <c r="C201" s="21"/>
      <c r="D201" s="21"/>
      <c r="E201" s="18">
        <v>12.0</v>
      </c>
      <c r="F201" s="21"/>
      <c r="G201" s="21"/>
      <c r="H201" s="21"/>
      <c r="I201" s="21"/>
      <c r="J201" s="21"/>
      <c r="K201" s="21"/>
      <c r="L201" s="21"/>
      <c r="M201" s="21"/>
      <c r="N201" s="21"/>
      <c r="O201" s="21"/>
      <c r="P201" s="21"/>
      <c r="Q201" s="21"/>
      <c r="R201" s="21"/>
      <c r="S201" s="21"/>
      <c r="T201" s="21"/>
      <c r="U201" s="21"/>
      <c r="V201" s="21"/>
      <c r="W201" s="21"/>
      <c r="X201" s="18">
        <v>12.0</v>
      </c>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5"/>
    </row>
    <row r="202">
      <c r="A202" s="22"/>
      <c r="B202" s="22"/>
      <c r="C202" s="22"/>
      <c r="D202" s="22"/>
      <c r="E202" s="18">
        <v>13.0</v>
      </c>
      <c r="F202" s="22"/>
      <c r="G202" s="22"/>
      <c r="H202" s="22"/>
      <c r="I202" s="22"/>
      <c r="J202" s="22"/>
      <c r="K202" s="22"/>
      <c r="L202" s="22"/>
      <c r="M202" s="22"/>
      <c r="N202" s="22"/>
      <c r="O202" s="22"/>
      <c r="P202" s="22"/>
      <c r="Q202" s="22"/>
      <c r="R202" s="22"/>
      <c r="S202" s="22"/>
      <c r="T202" s="22"/>
      <c r="U202" s="22"/>
      <c r="V202" s="22"/>
      <c r="W202" s="22"/>
      <c r="X202" s="18">
        <v>13.0</v>
      </c>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5"/>
    </row>
    <row r="203">
      <c r="A203" s="12" t="s">
        <v>134</v>
      </c>
      <c r="B203" s="13" t="s">
        <v>135</v>
      </c>
      <c r="C203" s="14"/>
      <c r="D203" s="14"/>
      <c r="E203" s="15"/>
      <c r="F203" s="29"/>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5"/>
      <c r="BK203" s="10"/>
    </row>
    <row r="204">
      <c r="A204" s="16" t="s">
        <v>136</v>
      </c>
      <c r="B204" s="17" t="s">
        <v>83</v>
      </c>
      <c r="C204" s="16" t="s">
        <v>117</v>
      </c>
      <c r="D204" s="16">
        <v>3.0</v>
      </c>
      <c r="E204" s="18">
        <v>1.0</v>
      </c>
      <c r="F204" s="18">
        <v>83.0</v>
      </c>
      <c r="G204" s="16" t="s">
        <v>85</v>
      </c>
      <c r="H204" s="16" t="s">
        <v>85</v>
      </c>
      <c r="I204" s="16" t="s">
        <v>85</v>
      </c>
      <c r="J204" s="16" t="s">
        <v>85</v>
      </c>
      <c r="K204" s="16" t="s">
        <v>85</v>
      </c>
      <c r="L204" s="16" t="s">
        <v>85</v>
      </c>
      <c r="M204" s="16" t="s">
        <v>85</v>
      </c>
      <c r="N204" s="16" t="s">
        <v>85</v>
      </c>
      <c r="O204" s="16" t="s">
        <v>85</v>
      </c>
      <c r="P204" s="16" t="s">
        <v>85</v>
      </c>
      <c r="Q204" s="19">
        <v>92.0</v>
      </c>
      <c r="R204" s="16" t="s">
        <v>85</v>
      </c>
      <c r="S204" s="16" t="s">
        <v>85</v>
      </c>
      <c r="T204" s="18">
        <v>350.0</v>
      </c>
      <c r="U204" s="16" t="s">
        <v>85</v>
      </c>
      <c r="V204" s="16" t="s">
        <v>85</v>
      </c>
      <c r="W204" s="16" t="s">
        <v>85</v>
      </c>
      <c r="X204" s="16" t="s">
        <v>85</v>
      </c>
      <c r="Y204" s="16" t="s">
        <v>85</v>
      </c>
      <c r="Z204" s="16" t="s">
        <v>85</v>
      </c>
      <c r="AA204" s="16" t="s">
        <v>85</v>
      </c>
      <c r="AB204" s="16" t="s">
        <v>85</v>
      </c>
      <c r="AC204" s="16" t="s">
        <v>85</v>
      </c>
      <c r="AD204" s="16" t="s">
        <v>85</v>
      </c>
      <c r="AE204" s="16" t="s">
        <v>137</v>
      </c>
      <c r="AF204" s="16" t="s">
        <v>98</v>
      </c>
      <c r="AG204" s="16" t="s">
        <v>85</v>
      </c>
      <c r="AH204" s="16" t="s">
        <v>85</v>
      </c>
      <c r="AI204" s="16">
        <v>5.5</v>
      </c>
      <c r="AJ204" s="16" t="s">
        <v>85</v>
      </c>
      <c r="AK204" s="16" t="s">
        <v>85</v>
      </c>
      <c r="AL204" s="16" t="s">
        <v>138</v>
      </c>
      <c r="AM204" s="16" t="s">
        <v>85</v>
      </c>
      <c r="AN204" s="16" t="s">
        <v>85</v>
      </c>
      <c r="AO204" s="16" t="s">
        <v>85</v>
      </c>
      <c r="AP204" s="16" t="s">
        <v>85</v>
      </c>
      <c r="AQ204" s="16" t="s">
        <v>85</v>
      </c>
      <c r="AR204" s="16" t="s">
        <v>85</v>
      </c>
      <c r="AS204" s="16" t="s">
        <v>85</v>
      </c>
      <c r="AT204" s="16" t="s">
        <v>85</v>
      </c>
      <c r="AU204" s="16" t="s">
        <v>85</v>
      </c>
      <c r="AV204" s="16" t="s">
        <v>85</v>
      </c>
      <c r="AW204" s="16" t="s">
        <v>85</v>
      </c>
      <c r="AX204" s="16" t="s">
        <v>85</v>
      </c>
      <c r="AY204" s="16" t="s">
        <v>85</v>
      </c>
      <c r="AZ204" s="16" t="s">
        <v>85</v>
      </c>
      <c r="BA204" s="16" t="s">
        <v>85</v>
      </c>
      <c r="BB204" s="16" t="s">
        <v>85</v>
      </c>
      <c r="BC204" s="16" t="s">
        <v>85</v>
      </c>
      <c r="BD204" s="16" t="s">
        <v>85</v>
      </c>
      <c r="BE204" s="16" t="s">
        <v>85</v>
      </c>
      <c r="BF204" s="16" t="s">
        <v>85</v>
      </c>
      <c r="BG204" s="16" t="s">
        <v>85</v>
      </c>
      <c r="BH204" s="16" t="s">
        <v>85</v>
      </c>
      <c r="BI204" s="16" t="s">
        <v>85</v>
      </c>
      <c r="BJ204" s="16" t="s">
        <v>85</v>
      </c>
      <c r="BK204" s="10"/>
    </row>
    <row r="205">
      <c r="A205" s="21"/>
      <c r="B205" s="21"/>
      <c r="C205" s="21"/>
      <c r="D205" s="21"/>
      <c r="E205" s="18">
        <v>2.0</v>
      </c>
      <c r="F205" s="19">
        <v>91.0</v>
      </c>
      <c r="G205" s="21"/>
      <c r="H205" s="21"/>
      <c r="I205" s="21"/>
      <c r="J205" s="21"/>
      <c r="K205" s="21"/>
      <c r="L205" s="21"/>
      <c r="M205" s="21"/>
      <c r="N205" s="21"/>
      <c r="O205" s="21"/>
      <c r="P205" s="21"/>
      <c r="Q205" s="19">
        <v>101.0</v>
      </c>
      <c r="R205" s="21"/>
      <c r="S205" s="21"/>
      <c r="T205" s="18">
        <v>385.0</v>
      </c>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10"/>
    </row>
    <row r="206">
      <c r="A206" s="21"/>
      <c r="B206" s="21"/>
      <c r="C206" s="21"/>
      <c r="D206" s="21"/>
      <c r="E206" s="18">
        <v>3.0</v>
      </c>
      <c r="F206" s="19">
        <v>100.0</v>
      </c>
      <c r="G206" s="21"/>
      <c r="H206" s="21"/>
      <c r="I206" s="21"/>
      <c r="J206" s="21"/>
      <c r="K206" s="21"/>
      <c r="L206" s="21"/>
      <c r="M206" s="21"/>
      <c r="N206" s="21"/>
      <c r="O206" s="21"/>
      <c r="P206" s="21"/>
      <c r="Q206" s="19">
        <v>111.0</v>
      </c>
      <c r="R206" s="21"/>
      <c r="S206" s="21"/>
      <c r="T206" s="18">
        <v>423.0</v>
      </c>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10"/>
    </row>
    <row r="207">
      <c r="A207" s="21"/>
      <c r="B207" s="21"/>
      <c r="C207" s="21"/>
      <c r="D207" s="21"/>
      <c r="E207" s="18">
        <v>4.0</v>
      </c>
      <c r="F207" s="19">
        <v>110.0</v>
      </c>
      <c r="G207" s="21"/>
      <c r="H207" s="21"/>
      <c r="I207" s="21"/>
      <c r="J207" s="21"/>
      <c r="K207" s="21"/>
      <c r="L207" s="21"/>
      <c r="M207" s="21"/>
      <c r="N207" s="21"/>
      <c r="O207" s="21"/>
      <c r="P207" s="21"/>
      <c r="Q207" s="19">
        <v>122.0</v>
      </c>
      <c r="R207" s="21"/>
      <c r="S207" s="21"/>
      <c r="T207" s="18">
        <v>465.0</v>
      </c>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10"/>
    </row>
    <row r="208">
      <c r="A208" s="21"/>
      <c r="B208" s="21"/>
      <c r="C208" s="21"/>
      <c r="D208" s="21"/>
      <c r="E208" s="18">
        <v>5.0</v>
      </c>
      <c r="F208" s="19">
        <v>121.0</v>
      </c>
      <c r="G208" s="21"/>
      <c r="H208" s="21"/>
      <c r="I208" s="21"/>
      <c r="J208" s="21"/>
      <c r="K208" s="21"/>
      <c r="L208" s="21"/>
      <c r="M208" s="21"/>
      <c r="N208" s="21"/>
      <c r="O208" s="21"/>
      <c r="P208" s="21"/>
      <c r="Q208" s="19">
        <v>134.0</v>
      </c>
      <c r="R208" s="21"/>
      <c r="S208" s="21"/>
      <c r="T208" s="18">
        <v>511.0</v>
      </c>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10"/>
    </row>
    <row r="209">
      <c r="A209" s="21"/>
      <c r="B209" s="21"/>
      <c r="C209" s="21"/>
      <c r="D209" s="21"/>
      <c r="E209" s="18">
        <v>6.0</v>
      </c>
      <c r="F209" s="19">
        <v>132.0</v>
      </c>
      <c r="G209" s="21"/>
      <c r="H209" s="21"/>
      <c r="I209" s="21"/>
      <c r="J209" s="21"/>
      <c r="K209" s="21"/>
      <c r="L209" s="21"/>
      <c r="M209" s="21"/>
      <c r="N209" s="21"/>
      <c r="O209" s="21"/>
      <c r="P209" s="21"/>
      <c r="Q209" s="19">
        <v>146.0</v>
      </c>
      <c r="R209" s="21"/>
      <c r="S209" s="21"/>
      <c r="T209" s="18">
        <v>560.0</v>
      </c>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10"/>
    </row>
    <row r="210">
      <c r="A210" s="21"/>
      <c r="B210" s="21"/>
      <c r="C210" s="21"/>
      <c r="D210" s="21"/>
      <c r="E210" s="18">
        <v>7.0</v>
      </c>
      <c r="F210" s="19">
        <v>146.0</v>
      </c>
      <c r="G210" s="21"/>
      <c r="H210" s="21"/>
      <c r="I210" s="21"/>
      <c r="J210" s="21"/>
      <c r="K210" s="21"/>
      <c r="L210" s="21"/>
      <c r="M210" s="21"/>
      <c r="N210" s="21"/>
      <c r="O210" s="21"/>
      <c r="P210" s="21"/>
      <c r="Q210" s="19">
        <v>162.0</v>
      </c>
      <c r="R210" s="21"/>
      <c r="S210" s="21"/>
      <c r="T210" s="18">
        <v>616.0</v>
      </c>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10"/>
    </row>
    <row r="211">
      <c r="A211" s="21"/>
      <c r="B211" s="21"/>
      <c r="C211" s="21"/>
      <c r="D211" s="21"/>
      <c r="E211" s="18">
        <v>8.0</v>
      </c>
      <c r="F211" s="19">
        <v>160.0</v>
      </c>
      <c r="G211" s="21"/>
      <c r="H211" s="21"/>
      <c r="I211" s="21"/>
      <c r="J211" s="21"/>
      <c r="K211" s="21"/>
      <c r="L211" s="21"/>
      <c r="M211" s="21"/>
      <c r="N211" s="21"/>
      <c r="O211" s="21"/>
      <c r="P211" s="21"/>
      <c r="Q211" s="19">
        <v>177.0</v>
      </c>
      <c r="R211" s="21"/>
      <c r="S211" s="21"/>
      <c r="T211" s="18">
        <v>675.0</v>
      </c>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c r="BG211" s="21"/>
      <c r="BH211" s="21"/>
      <c r="BI211" s="21"/>
      <c r="BJ211" s="21"/>
      <c r="BK211" s="10"/>
    </row>
    <row r="212">
      <c r="A212" s="21"/>
      <c r="B212" s="21"/>
      <c r="C212" s="21"/>
      <c r="D212" s="21"/>
      <c r="E212" s="18">
        <v>9.0</v>
      </c>
      <c r="F212" s="19">
        <v>175.0</v>
      </c>
      <c r="G212" s="21"/>
      <c r="H212" s="21"/>
      <c r="I212" s="21"/>
      <c r="J212" s="21"/>
      <c r="K212" s="21"/>
      <c r="L212" s="21"/>
      <c r="M212" s="21"/>
      <c r="N212" s="21"/>
      <c r="O212" s="21"/>
      <c r="P212" s="21"/>
      <c r="Q212" s="19">
        <v>194.0</v>
      </c>
      <c r="R212" s="21"/>
      <c r="S212" s="21"/>
      <c r="T212" s="18">
        <v>742.0</v>
      </c>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c r="BI212" s="21"/>
      <c r="BJ212" s="21"/>
      <c r="BK212" s="10"/>
    </row>
    <row r="213">
      <c r="A213" s="21"/>
      <c r="B213" s="21"/>
      <c r="C213" s="21"/>
      <c r="D213" s="21"/>
      <c r="E213" s="18">
        <v>10.0</v>
      </c>
      <c r="F213" s="19">
        <v>193.0</v>
      </c>
      <c r="G213" s="21"/>
      <c r="H213" s="21"/>
      <c r="I213" s="21"/>
      <c r="J213" s="21"/>
      <c r="K213" s="21"/>
      <c r="L213" s="21"/>
      <c r="M213" s="21"/>
      <c r="N213" s="21"/>
      <c r="O213" s="21"/>
      <c r="P213" s="21"/>
      <c r="Q213" s="19">
        <v>214.0</v>
      </c>
      <c r="R213" s="21"/>
      <c r="S213" s="21"/>
      <c r="T213" s="18">
        <v>815.0</v>
      </c>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10"/>
    </row>
    <row r="214">
      <c r="A214" s="21"/>
      <c r="B214" s="21"/>
      <c r="C214" s="21"/>
      <c r="D214" s="21"/>
      <c r="E214" s="18">
        <v>11.0</v>
      </c>
      <c r="F214" s="19">
        <v>212.0</v>
      </c>
      <c r="G214" s="21"/>
      <c r="H214" s="21"/>
      <c r="I214" s="21"/>
      <c r="J214" s="21"/>
      <c r="K214" s="21"/>
      <c r="L214" s="21"/>
      <c r="M214" s="21"/>
      <c r="N214" s="21"/>
      <c r="O214" s="21"/>
      <c r="P214" s="21"/>
      <c r="Q214" s="19">
        <v>235.0</v>
      </c>
      <c r="R214" s="21"/>
      <c r="S214" s="21"/>
      <c r="T214" s="18">
        <v>896.0</v>
      </c>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10"/>
    </row>
    <row r="215">
      <c r="A215" s="21"/>
      <c r="B215" s="21"/>
      <c r="C215" s="21"/>
      <c r="D215" s="21"/>
      <c r="E215" s="18">
        <v>12.0</v>
      </c>
      <c r="F215" s="19">
        <v>233.0</v>
      </c>
      <c r="G215" s="21"/>
      <c r="H215" s="21"/>
      <c r="I215" s="21"/>
      <c r="J215" s="21"/>
      <c r="K215" s="21"/>
      <c r="L215" s="21"/>
      <c r="M215" s="21"/>
      <c r="N215" s="21"/>
      <c r="O215" s="21"/>
      <c r="P215" s="21"/>
      <c r="Q215" s="19">
        <v>258.0</v>
      </c>
      <c r="R215" s="21"/>
      <c r="S215" s="21"/>
      <c r="T215" s="18">
        <v>983.0</v>
      </c>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10"/>
    </row>
    <row r="216">
      <c r="A216" s="22"/>
      <c r="B216" s="22"/>
      <c r="C216" s="22"/>
      <c r="D216" s="22"/>
      <c r="E216" s="18">
        <v>13.0</v>
      </c>
      <c r="F216" s="19">
        <v>256.0</v>
      </c>
      <c r="G216" s="22"/>
      <c r="H216" s="22"/>
      <c r="I216" s="22"/>
      <c r="J216" s="22"/>
      <c r="K216" s="22"/>
      <c r="L216" s="22"/>
      <c r="M216" s="22"/>
      <c r="N216" s="22"/>
      <c r="O216" s="22"/>
      <c r="P216" s="22"/>
      <c r="Q216" s="19">
        <v>284.0</v>
      </c>
      <c r="R216" s="22"/>
      <c r="S216" s="22"/>
      <c r="T216" s="18">
        <v>1081.0</v>
      </c>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10"/>
    </row>
    <row r="217">
      <c r="A217" s="16" t="s">
        <v>139</v>
      </c>
      <c r="B217" s="17" t="s">
        <v>83</v>
      </c>
      <c r="C217" s="16" t="s">
        <v>87</v>
      </c>
      <c r="D217" s="16">
        <v>5.0</v>
      </c>
      <c r="E217" s="18">
        <v>1.0</v>
      </c>
      <c r="F217" s="18">
        <v>75.0</v>
      </c>
      <c r="G217" s="16" t="s">
        <v>85</v>
      </c>
      <c r="H217" s="16" t="s">
        <v>85</v>
      </c>
      <c r="I217" s="16" t="s">
        <v>85</v>
      </c>
      <c r="J217" s="16" t="s">
        <v>85</v>
      </c>
      <c r="K217" s="16" t="s">
        <v>85</v>
      </c>
      <c r="L217" s="16" t="s">
        <v>85</v>
      </c>
      <c r="M217" s="16" t="s">
        <v>85</v>
      </c>
      <c r="N217" s="16" t="s">
        <v>85</v>
      </c>
      <c r="O217" s="16" t="s">
        <v>85</v>
      </c>
      <c r="P217" s="16" t="s">
        <v>85</v>
      </c>
      <c r="Q217" s="18">
        <v>53.0</v>
      </c>
      <c r="R217" s="16" t="s">
        <v>85</v>
      </c>
      <c r="S217" s="16" t="s">
        <v>85</v>
      </c>
      <c r="T217" s="18">
        <v>262.0</v>
      </c>
      <c r="U217" s="16" t="s">
        <v>85</v>
      </c>
      <c r="V217" s="16" t="s">
        <v>85</v>
      </c>
      <c r="W217" s="16" t="s">
        <v>85</v>
      </c>
      <c r="X217" s="16" t="s">
        <v>85</v>
      </c>
      <c r="Y217" s="16" t="s">
        <v>85</v>
      </c>
      <c r="Z217" s="16" t="s">
        <v>85</v>
      </c>
      <c r="AA217" s="16" t="s">
        <v>85</v>
      </c>
      <c r="AB217" s="16" t="s">
        <v>85</v>
      </c>
      <c r="AC217" s="16" t="s">
        <v>85</v>
      </c>
      <c r="AD217" s="16" t="s">
        <v>85</v>
      </c>
      <c r="AE217" s="16" t="s">
        <v>140</v>
      </c>
      <c r="AF217" s="16" t="s">
        <v>98</v>
      </c>
      <c r="AG217" s="16" t="s">
        <v>95</v>
      </c>
      <c r="AH217" s="16" t="s">
        <v>85</v>
      </c>
      <c r="AI217" s="16" t="s">
        <v>104</v>
      </c>
      <c r="AJ217" s="16" t="s">
        <v>85</v>
      </c>
      <c r="AK217" s="16" t="s">
        <v>85</v>
      </c>
      <c r="AL217" s="16" t="s">
        <v>85</v>
      </c>
      <c r="AM217" s="16" t="s">
        <v>141</v>
      </c>
      <c r="AN217" s="16" t="s">
        <v>85</v>
      </c>
      <c r="AO217" s="16" t="s">
        <v>85</v>
      </c>
      <c r="AP217" s="16" t="s">
        <v>85</v>
      </c>
      <c r="AQ217" s="16" t="s">
        <v>85</v>
      </c>
      <c r="AR217" s="16" t="s">
        <v>85</v>
      </c>
      <c r="AS217" s="16" t="s">
        <v>85</v>
      </c>
      <c r="AT217" s="16" t="s">
        <v>85</v>
      </c>
      <c r="AU217" s="16" t="s">
        <v>85</v>
      </c>
      <c r="AV217" s="16" t="s">
        <v>85</v>
      </c>
      <c r="AW217" s="16" t="s">
        <v>85</v>
      </c>
      <c r="AX217" s="16" t="s">
        <v>85</v>
      </c>
      <c r="AY217" s="16" t="s">
        <v>85</v>
      </c>
      <c r="AZ217" s="16" t="s">
        <v>85</v>
      </c>
      <c r="BA217" s="16" t="s">
        <v>85</v>
      </c>
      <c r="BB217" s="16" t="s">
        <v>85</v>
      </c>
      <c r="BC217" s="16" t="s">
        <v>85</v>
      </c>
      <c r="BD217" s="16" t="s">
        <v>85</v>
      </c>
      <c r="BE217" s="16" t="s">
        <v>85</v>
      </c>
      <c r="BF217" s="16" t="s">
        <v>85</v>
      </c>
      <c r="BG217" s="16" t="s">
        <v>85</v>
      </c>
      <c r="BH217" s="16" t="s">
        <v>85</v>
      </c>
      <c r="BI217" s="16" t="s">
        <v>85</v>
      </c>
      <c r="BJ217" s="16" t="s">
        <v>85</v>
      </c>
      <c r="BK217" s="10"/>
    </row>
    <row r="218">
      <c r="A218" s="21"/>
      <c r="B218" s="21"/>
      <c r="C218" s="21"/>
      <c r="D218" s="21"/>
      <c r="E218" s="18">
        <v>2.0</v>
      </c>
      <c r="F218" s="18">
        <v>82.0</v>
      </c>
      <c r="G218" s="21"/>
      <c r="H218" s="21"/>
      <c r="I218" s="21"/>
      <c r="J218" s="21"/>
      <c r="K218" s="21"/>
      <c r="L218" s="21"/>
      <c r="M218" s="21"/>
      <c r="N218" s="21"/>
      <c r="O218" s="21"/>
      <c r="P218" s="21"/>
      <c r="Q218" s="18">
        <v>58.0</v>
      </c>
      <c r="R218" s="21"/>
      <c r="S218" s="21"/>
      <c r="T218" s="19">
        <v>288.0</v>
      </c>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c r="BG218" s="21"/>
      <c r="BH218" s="21"/>
      <c r="BI218" s="21"/>
      <c r="BJ218" s="21"/>
      <c r="BK218" s="10"/>
    </row>
    <row r="219">
      <c r="A219" s="21"/>
      <c r="B219" s="21"/>
      <c r="C219" s="21"/>
      <c r="D219" s="21"/>
      <c r="E219" s="18">
        <v>3.0</v>
      </c>
      <c r="F219" s="18">
        <v>90.0</v>
      </c>
      <c r="G219" s="21"/>
      <c r="H219" s="21"/>
      <c r="I219" s="21"/>
      <c r="J219" s="21"/>
      <c r="K219" s="21"/>
      <c r="L219" s="21"/>
      <c r="M219" s="21"/>
      <c r="N219" s="21"/>
      <c r="O219" s="21"/>
      <c r="P219" s="21"/>
      <c r="Q219" s="18">
        <v>64.0</v>
      </c>
      <c r="R219" s="21"/>
      <c r="S219" s="21"/>
      <c r="T219" s="19">
        <v>317.0</v>
      </c>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10"/>
    </row>
    <row r="220">
      <c r="A220" s="21"/>
      <c r="B220" s="21"/>
      <c r="C220" s="21"/>
      <c r="D220" s="21"/>
      <c r="E220" s="18">
        <v>4.0</v>
      </c>
      <c r="F220" s="18">
        <v>99.0</v>
      </c>
      <c r="G220" s="21"/>
      <c r="H220" s="21"/>
      <c r="I220" s="21"/>
      <c r="J220" s="21"/>
      <c r="K220" s="21"/>
      <c r="L220" s="21"/>
      <c r="M220" s="21"/>
      <c r="N220" s="21"/>
      <c r="O220" s="21"/>
      <c r="P220" s="21"/>
      <c r="Q220" s="18">
        <v>70.0</v>
      </c>
      <c r="R220" s="21"/>
      <c r="S220" s="21"/>
      <c r="T220" s="19">
        <v>348.0</v>
      </c>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10"/>
    </row>
    <row r="221">
      <c r="A221" s="21"/>
      <c r="B221" s="21"/>
      <c r="C221" s="21"/>
      <c r="D221" s="21"/>
      <c r="E221" s="18">
        <v>5.0</v>
      </c>
      <c r="F221" s="18">
        <v>109.0</v>
      </c>
      <c r="G221" s="21"/>
      <c r="H221" s="21"/>
      <c r="I221" s="21"/>
      <c r="J221" s="21"/>
      <c r="K221" s="21"/>
      <c r="L221" s="21"/>
      <c r="M221" s="21"/>
      <c r="N221" s="21"/>
      <c r="O221" s="21"/>
      <c r="P221" s="21"/>
      <c r="Q221" s="18">
        <v>77.0</v>
      </c>
      <c r="R221" s="21"/>
      <c r="S221" s="21"/>
      <c r="T221" s="19">
        <v>382.0</v>
      </c>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10"/>
    </row>
    <row r="222">
      <c r="A222" s="21"/>
      <c r="B222" s="21"/>
      <c r="C222" s="21"/>
      <c r="D222" s="21"/>
      <c r="E222" s="18">
        <v>6.0</v>
      </c>
      <c r="F222" s="18">
        <v>120.0</v>
      </c>
      <c r="G222" s="21"/>
      <c r="H222" s="21"/>
      <c r="I222" s="21"/>
      <c r="J222" s="21"/>
      <c r="K222" s="21"/>
      <c r="L222" s="21"/>
      <c r="M222" s="21"/>
      <c r="N222" s="21"/>
      <c r="O222" s="21"/>
      <c r="P222" s="21"/>
      <c r="Q222" s="18">
        <v>85.0</v>
      </c>
      <c r="R222" s="21"/>
      <c r="S222" s="21"/>
      <c r="T222" s="19">
        <v>419.0</v>
      </c>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10"/>
    </row>
    <row r="223">
      <c r="A223" s="21"/>
      <c r="B223" s="21"/>
      <c r="C223" s="21"/>
      <c r="D223" s="21"/>
      <c r="E223" s="18">
        <v>7.0</v>
      </c>
      <c r="F223" s="18">
        <v>132.0</v>
      </c>
      <c r="G223" s="21"/>
      <c r="H223" s="21"/>
      <c r="I223" s="21"/>
      <c r="J223" s="21"/>
      <c r="K223" s="21"/>
      <c r="L223" s="21"/>
      <c r="M223" s="21"/>
      <c r="N223" s="21"/>
      <c r="O223" s="21"/>
      <c r="P223" s="21"/>
      <c r="Q223" s="18">
        <v>94.0</v>
      </c>
      <c r="R223" s="21"/>
      <c r="S223" s="21"/>
      <c r="T223" s="19">
        <v>461.0</v>
      </c>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10"/>
    </row>
    <row r="224">
      <c r="A224" s="21"/>
      <c r="B224" s="21"/>
      <c r="C224" s="21"/>
      <c r="D224" s="21"/>
      <c r="E224" s="18">
        <v>8.0</v>
      </c>
      <c r="F224" s="18">
        <v>144.0</v>
      </c>
      <c r="G224" s="21"/>
      <c r="H224" s="21"/>
      <c r="I224" s="21"/>
      <c r="J224" s="21"/>
      <c r="K224" s="21"/>
      <c r="L224" s="21"/>
      <c r="M224" s="21"/>
      <c r="N224" s="21"/>
      <c r="O224" s="21"/>
      <c r="P224" s="21"/>
      <c r="Q224" s="18">
        <v>102.0</v>
      </c>
      <c r="R224" s="21"/>
      <c r="S224" s="21"/>
      <c r="T224" s="19">
        <v>505.0</v>
      </c>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10"/>
    </row>
    <row r="225">
      <c r="A225" s="21"/>
      <c r="B225" s="21"/>
      <c r="C225" s="21"/>
      <c r="D225" s="21"/>
      <c r="E225" s="18">
        <v>9.0</v>
      </c>
      <c r="F225" s="18">
        <v>159.0</v>
      </c>
      <c r="G225" s="21"/>
      <c r="H225" s="21"/>
      <c r="I225" s="21"/>
      <c r="J225" s="21"/>
      <c r="K225" s="21"/>
      <c r="L225" s="21"/>
      <c r="M225" s="21"/>
      <c r="N225" s="21"/>
      <c r="O225" s="21"/>
      <c r="P225" s="21"/>
      <c r="Q225" s="18">
        <v>113.0</v>
      </c>
      <c r="R225" s="21"/>
      <c r="S225" s="21"/>
      <c r="T225" s="19">
        <v>555.0</v>
      </c>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10"/>
    </row>
    <row r="226">
      <c r="A226" s="21"/>
      <c r="B226" s="21"/>
      <c r="C226" s="21"/>
      <c r="D226" s="21"/>
      <c r="E226" s="18">
        <v>10.0</v>
      </c>
      <c r="F226" s="18">
        <v>174.0</v>
      </c>
      <c r="G226" s="21"/>
      <c r="H226" s="21"/>
      <c r="I226" s="21"/>
      <c r="J226" s="21"/>
      <c r="K226" s="21"/>
      <c r="L226" s="21"/>
      <c r="M226" s="21"/>
      <c r="N226" s="21"/>
      <c r="O226" s="21"/>
      <c r="P226" s="21"/>
      <c r="Q226" s="18">
        <v>124.0</v>
      </c>
      <c r="R226" s="21"/>
      <c r="S226" s="21"/>
      <c r="T226" s="19">
        <v>610.0</v>
      </c>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10"/>
    </row>
    <row r="227">
      <c r="A227" s="21"/>
      <c r="B227" s="21"/>
      <c r="C227" s="21"/>
      <c r="D227" s="21"/>
      <c r="E227" s="18">
        <v>11.0</v>
      </c>
      <c r="F227" s="18">
        <v>192.0</v>
      </c>
      <c r="G227" s="21"/>
      <c r="H227" s="21"/>
      <c r="I227" s="21"/>
      <c r="J227" s="21"/>
      <c r="K227" s="21"/>
      <c r="L227" s="21"/>
      <c r="M227" s="21"/>
      <c r="N227" s="21"/>
      <c r="O227" s="21"/>
      <c r="P227" s="21"/>
      <c r="Q227" s="18">
        <v>137.0</v>
      </c>
      <c r="R227" s="21"/>
      <c r="S227" s="21"/>
      <c r="T227" s="19">
        <v>670.0</v>
      </c>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10"/>
    </row>
    <row r="228">
      <c r="A228" s="21"/>
      <c r="B228" s="21"/>
      <c r="C228" s="21"/>
      <c r="D228" s="21"/>
      <c r="E228" s="18">
        <v>12.0</v>
      </c>
      <c r="F228" s="18">
        <v>210.0</v>
      </c>
      <c r="G228" s="21"/>
      <c r="H228" s="21"/>
      <c r="I228" s="21"/>
      <c r="J228" s="21"/>
      <c r="K228" s="21"/>
      <c r="L228" s="21"/>
      <c r="M228" s="21"/>
      <c r="N228" s="21"/>
      <c r="O228" s="21"/>
      <c r="P228" s="21"/>
      <c r="Q228" s="18">
        <v>150.0</v>
      </c>
      <c r="R228" s="21"/>
      <c r="S228" s="21"/>
      <c r="T228" s="19">
        <v>736.0</v>
      </c>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10"/>
    </row>
    <row r="229">
      <c r="A229" s="22"/>
      <c r="B229" s="22"/>
      <c r="C229" s="22"/>
      <c r="D229" s="22"/>
      <c r="E229" s="18">
        <v>13.0</v>
      </c>
      <c r="F229" s="18">
        <v>231.0</v>
      </c>
      <c r="G229" s="22"/>
      <c r="H229" s="22"/>
      <c r="I229" s="22"/>
      <c r="J229" s="22"/>
      <c r="K229" s="22"/>
      <c r="L229" s="22"/>
      <c r="M229" s="22"/>
      <c r="N229" s="22"/>
      <c r="O229" s="22"/>
      <c r="P229" s="22"/>
      <c r="Q229" s="18">
        <v>165.0</v>
      </c>
      <c r="R229" s="22"/>
      <c r="S229" s="22"/>
      <c r="T229" s="19">
        <v>809.0</v>
      </c>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10"/>
    </row>
    <row r="230">
      <c r="A230" s="16" t="s">
        <v>142</v>
      </c>
      <c r="B230" s="27" t="s">
        <v>101</v>
      </c>
      <c r="C230" s="16" t="s">
        <v>87</v>
      </c>
      <c r="D230" s="16">
        <v>3.0</v>
      </c>
      <c r="E230" s="31">
        <v>3.0</v>
      </c>
      <c r="F230" s="31">
        <v>147.0</v>
      </c>
      <c r="G230" s="16" t="s">
        <v>85</v>
      </c>
      <c r="H230" s="16" t="s">
        <v>85</v>
      </c>
      <c r="I230" s="16" t="s">
        <v>85</v>
      </c>
      <c r="J230" s="16" t="s">
        <v>85</v>
      </c>
      <c r="K230" s="16" t="s">
        <v>85</v>
      </c>
      <c r="L230" s="16" t="s">
        <v>85</v>
      </c>
      <c r="M230" s="16" t="s">
        <v>85</v>
      </c>
      <c r="N230" s="16" t="s">
        <v>85</v>
      </c>
      <c r="O230" s="16" t="s">
        <v>85</v>
      </c>
      <c r="P230" s="16" t="s">
        <v>85</v>
      </c>
      <c r="Q230" s="31">
        <v>91.0</v>
      </c>
      <c r="R230" s="16" t="s">
        <v>85</v>
      </c>
      <c r="S230" s="16" t="s">
        <v>85</v>
      </c>
      <c r="T230" s="31">
        <v>395.0</v>
      </c>
      <c r="U230" s="16" t="s">
        <v>85</v>
      </c>
      <c r="V230" s="16" t="s">
        <v>85</v>
      </c>
      <c r="W230" s="16" t="s">
        <v>85</v>
      </c>
      <c r="X230" s="16" t="s">
        <v>85</v>
      </c>
      <c r="Y230" s="16" t="s">
        <v>85</v>
      </c>
      <c r="Z230" s="16" t="s">
        <v>85</v>
      </c>
      <c r="AA230" s="16" t="s">
        <v>85</v>
      </c>
      <c r="AB230" s="16" t="s">
        <v>85</v>
      </c>
      <c r="AC230" s="16" t="s">
        <v>85</v>
      </c>
      <c r="AD230" s="16" t="s">
        <v>85</v>
      </c>
      <c r="AE230" s="16" t="s">
        <v>143</v>
      </c>
      <c r="AF230" s="16" t="s">
        <v>89</v>
      </c>
      <c r="AG230" s="16" t="s">
        <v>95</v>
      </c>
      <c r="AH230" s="16" t="s">
        <v>85</v>
      </c>
      <c r="AI230" s="16" t="s">
        <v>91</v>
      </c>
      <c r="AJ230" s="16" t="s">
        <v>85</v>
      </c>
      <c r="AK230" s="16" t="s">
        <v>85</v>
      </c>
      <c r="AL230" s="16" t="s">
        <v>85</v>
      </c>
      <c r="AM230" s="16" t="s">
        <v>85</v>
      </c>
      <c r="AN230" s="16" t="s">
        <v>85</v>
      </c>
      <c r="AO230" s="16" t="s">
        <v>85</v>
      </c>
      <c r="AP230" s="16" t="s">
        <v>85</v>
      </c>
      <c r="AQ230" s="16" t="s">
        <v>85</v>
      </c>
      <c r="AR230" s="16" t="s">
        <v>85</v>
      </c>
      <c r="AS230" s="16" t="s">
        <v>85</v>
      </c>
      <c r="AT230" s="16" t="s">
        <v>85</v>
      </c>
      <c r="AU230" s="16" t="s">
        <v>85</v>
      </c>
      <c r="AV230" s="16" t="s">
        <v>85</v>
      </c>
      <c r="AW230" s="16" t="s">
        <v>85</v>
      </c>
      <c r="AX230" s="16" t="s">
        <v>85</v>
      </c>
      <c r="AY230" s="16" t="s">
        <v>85</v>
      </c>
      <c r="AZ230" s="16" t="s">
        <v>85</v>
      </c>
      <c r="BA230" s="16" t="s">
        <v>85</v>
      </c>
      <c r="BB230" s="16" t="s">
        <v>85</v>
      </c>
      <c r="BC230" s="16" t="s">
        <v>85</v>
      </c>
      <c r="BD230" s="16" t="s">
        <v>85</v>
      </c>
      <c r="BE230" s="16" t="s">
        <v>85</v>
      </c>
      <c r="BF230" s="16" t="s">
        <v>85</v>
      </c>
      <c r="BG230" s="16" t="s">
        <v>85</v>
      </c>
      <c r="BH230" s="16" t="s">
        <v>85</v>
      </c>
      <c r="BI230" s="16" t="s">
        <v>85</v>
      </c>
      <c r="BJ230" s="16" t="s">
        <v>85</v>
      </c>
      <c r="BK230" s="10"/>
    </row>
    <row r="231">
      <c r="A231" s="21"/>
      <c r="B231" s="21"/>
      <c r="C231" s="21"/>
      <c r="D231" s="21"/>
      <c r="E231" s="31">
        <v>4.0</v>
      </c>
      <c r="F231" s="31">
        <v>161.0</v>
      </c>
      <c r="G231" s="21"/>
      <c r="H231" s="21"/>
      <c r="I231" s="21"/>
      <c r="J231" s="21"/>
      <c r="K231" s="21"/>
      <c r="L231" s="21"/>
      <c r="M231" s="21"/>
      <c r="N231" s="21"/>
      <c r="O231" s="21"/>
      <c r="P231" s="21"/>
      <c r="Q231" s="31">
        <v>100.0</v>
      </c>
      <c r="R231" s="21"/>
      <c r="S231" s="21"/>
      <c r="T231" s="31">
        <v>434.0</v>
      </c>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10"/>
    </row>
    <row r="232">
      <c r="A232" s="21"/>
      <c r="B232" s="21"/>
      <c r="C232" s="21"/>
      <c r="D232" s="21"/>
      <c r="E232" s="31">
        <v>5.0</v>
      </c>
      <c r="F232" s="31">
        <v>177.0</v>
      </c>
      <c r="G232" s="21"/>
      <c r="H232" s="21"/>
      <c r="I232" s="21"/>
      <c r="J232" s="21"/>
      <c r="K232" s="21"/>
      <c r="L232" s="21"/>
      <c r="M232" s="21"/>
      <c r="N232" s="21"/>
      <c r="O232" s="21"/>
      <c r="P232" s="21"/>
      <c r="Q232" s="31">
        <v>110.0</v>
      </c>
      <c r="R232" s="21"/>
      <c r="S232" s="21"/>
      <c r="T232" s="31">
        <v>477.0</v>
      </c>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10"/>
    </row>
    <row r="233">
      <c r="A233" s="21"/>
      <c r="B233" s="21"/>
      <c r="C233" s="21"/>
      <c r="D233" s="21"/>
      <c r="E233" s="31">
        <v>6.0</v>
      </c>
      <c r="F233" s="31">
        <v>195.0</v>
      </c>
      <c r="G233" s="21"/>
      <c r="H233" s="21"/>
      <c r="I233" s="21"/>
      <c r="J233" s="21"/>
      <c r="K233" s="21"/>
      <c r="L233" s="21"/>
      <c r="M233" s="21"/>
      <c r="N233" s="21"/>
      <c r="O233" s="21"/>
      <c r="P233" s="21"/>
      <c r="Q233" s="31">
        <v>121.0</v>
      </c>
      <c r="R233" s="21"/>
      <c r="S233" s="21"/>
      <c r="T233" s="31">
        <v>525.0</v>
      </c>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10"/>
    </row>
    <row r="234">
      <c r="A234" s="21"/>
      <c r="B234" s="21"/>
      <c r="C234" s="21"/>
      <c r="D234" s="21"/>
      <c r="E234" s="31">
        <v>7.0</v>
      </c>
      <c r="F234" s="31">
        <v>214.0</v>
      </c>
      <c r="G234" s="21"/>
      <c r="H234" s="21"/>
      <c r="I234" s="21"/>
      <c r="J234" s="21"/>
      <c r="K234" s="21"/>
      <c r="L234" s="21"/>
      <c r="M234" s="21"/>
      <c r="N234" s="21"/>
      <c r="O234" s="21"/>
      <c r="P234" s="21"/>
      <c r="Q234" s="31">
        <v>133.0</v>
      </c>
      <c r="R234" s="21"/>
      <c r="S234" s="21"/>
      <c r="T234" s="31">
        <v>576.0</v>
      </c>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10"/>
    </row>
    <row r="235">
      <c r="A235" s="21"/>
      <c r="B235" s="21"/>
      <c r="C235" s="21"/>
      <c r="D235" s="21"/>
      <c r="E235" s="31">
        <v>8.0</v>
      </c>
      <c r="F235" s="31">
        <v>235.0</v>
      </c>
      <c r="G235" s="21"/>
      <c r="H235" s="21"/>
      <c r="I235" s="21"/>
      <c r="J235" s="21"/>
      <c r="K235" s="21"/>
      <c r="L235" s="21"/>
      <c r="M235" s="21"/>
      <c r="N235" s="21"/>
      <c r="O235" s="21"/>
      <c r="P235" s="21"/>
      <c r="Q235" s="31">
        <v>146.0</v>
      </c>
      <c r="R235" s="21"/>
      <c r="S235" s="21"/>
      <c r="T235" s="31">
        <v>632.0</v>
      </c>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10"/>
    </row>
    <row r="236">
      <c r="A236" s="21"/>
      <c r="B236" s="21"/>
      <c r="C236" s="21"/>
      <c r="D236" s="21"/>
      <c r="E236" s="31">
        <v>9.0</v>
      </c>
      <c r="F236" s="31">
        <v>258.0</v>
      </c>
      <c r="G236" s="21"/>
      <c r="H236" s="21"/>
      <c r="I236" s="21"/>
      <c r="J236" s="21"/>
      <c r="K236" s="21"/>
      <c r="L236" s="21"/>
      <c r="M236" s="21"/>
      <c r="N236" s="21"/>
      <c r="O236" s="21"/>
      <c r="P236" s="21"/>
      <c r="Q236" s="31">
        <v>161.0</v>
      </c>
      <c r="R236" s="21"/>
      <c r="S236" s="21"/>
      <c r="T236" s="31">
        <v>695.0</v>
      </c>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10"/>
    </row>
    <row r="237">
      <c r="A237" s="21"/>
      <c r="B237" s="21"/>
      <c r="C237" s="21"/>
      <c r="D237" s="21"/>
      <c r="E237" s="31">
        <v>10.0</v>
      </c>
      <c r="F237" s="31">
        <v>283.0</v>
      </c>
      <c r="G237" s="21"/>
      <c r="H237" s="21"/>
      <c r="I237" s="21"/>
      <c r="J237" s="21"/>
      <c r="K237" s="21"/>
      <c r="L237" s="21"/>
      <c r="M237" s="21"/>
      <c r="N237" s="21"/>
      <c r="O237" s="21"/>
      <c r="P237" s="21"/>
      <c r="Q237" s="31">
        <v>176.0</v>
      </c>
      <c r="R237" s="21"/>
      <c r="S237" s="21"/>
      <c r="T237" s="31">
        <v>762.0</v>
      </c>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10"/>
    </row>
    <row r="238">
      <c r="A238" s="21"/>
      <c r="B238" s="21"/>
      <c r="C238" s="21"/>
      <c r="D238" s="21"/>
      <c r="E238" s="31">
        <v>11.0</v>
      </c>
      <c r="F238" s="31">
        <v>311.0</v>
      </c>
      <c r="G238" s="21"/>
      <c r="H238" s="21"/>
      <c r="I238" s="21"/>
      <c r="J238" s="21"/>
      <c r="K238" s="21"/>
      <c r="L238" s="21"/>
      <c r="M238" s="21"/>
      <c r="N238" s="21"/>
      <c r="O238" s="21"/>
      <c r="P238" s="21"/>
      <c r="Q238" s="31">
        <v>194.0</v>
      </c>
      <c r="R238" s="21"/>
      <c r="S238" s="21"/>
      <c r="T238" s="31">
        <v>837.0</v>
      </c>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10"/>
    </row>
    <row r="239">
      <c r="A239" s="21"/>
      <c r="B239" s="21"/>
      <c r="C239" s="21"/>
      <c r="D239" s="21"/>
      <c r="E239" s="31">
        <v>12.0</v>
      </c>
      <c r="F239" s="31">
        <v>342.0</v>
      </c>
      <c r="G239" s="21"/>
      <c r="H239" s="21"/>
      <c r="I239" s="21"/>
      <c r="J239" s="21"/>
      <c r="K239" s="21"/>
      <c r="L239" s="21"/>
      <c r="M239" s="21"/>
      <c r="N239" s="21"/>
      <c r="O239" s="21"/>
      <c r="P239" s="21"/>
      <c r="Q239" s="31">
        <v>213.0</v>
      </c>
      <c r="R239" s="21"/>
      <c r="S239" s="21"/>
      <c r="T239" s="31">
        <v>920.0</v>
      </c>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10"/>
    </row>
    <row r="240">
      <c r="A240" s="22"/>
      <c r="B240" s="22"/>
      <c r="C240" s="22"/>
      <c r="D240" s="22"/>
      <c r="E240" s="31">
        <v>13.0</v>
      </c>
      <c r="F240" s="31">
        <v>376.0</v>
      </c>
      <c r="G240" s="22"/>
      <c r="H240" s="22"/>
      <c r="I240" s="22"/>
      <c r="J240" s="22"/>
      <c r="K240" s="22"/>
      <c r="L240" s="22"/>
      <c r="M240" s="22"/>
      <c r="N240" s="22"/>
      <c r="O240" s="22"/>
      <c r="P240" s="22"/>
      <c r="Q240" s="31">
        <v>235.0</v>
      </c>
      <c r="R240" s="22"/>
      <c r="S240" s="22"/>
      <c r="T240" s="31">
        <v>1011.0</v>
      </c>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10"/>
    </row>
    <row r="241">
      <c r="A241" s="16" t="s">
        <v>144</v>
      </c>
      <c r="B241" s="27" t="s">
        <v>101</v>
      </c>
      <c r="C241" s="16" t="s">
        <v>87</v>
      </c>
      <c r="D241" s="16">
        <v>4.0</v>
      </c>
      <c r="E241" s="32">
        <v>3.0</v>
      </c>
      <c r="F241" s="18">
        <v>125.0</v>
      </c>
      <c r="G241" s="16" t="s">
        <v>85</v>
      </c>
      <c r="H241" s="16" t="s">
        <v>85</v>
      </c>
      <c r="I241" s="18">
        <v>250.0</v>
      </c>
      <c r="J241" s="16" t="s">
        <v>85</v>
      </c>
      <c r="K241" s="16" t="s">
        <v>85</v>
      </c>
      <c r="L241" s="16" t="s">
        <v>85</v>
      </c>
      <c r="M241" s="16" t="s">
        <v>85</v>
      </c>
      <c r="N241" s="16" t="s">
        <v>85</v>
      </c>
      <c r="O241" s="16" t="s">
        <v>85</v>
      </c>
      <c r="P241" s="16" t="s">
        <v>85</v>
      </c>
      <c r="Q241" s="16" t="s">
        <v>85</v>
      </c>
      <c r="R241" s="16" t="s">
        <v>85</v>
      </c>
      <c r="S241" s="16" t="s">
        <v>85</v>
      </c>
      <c r="T241" s="18">
        <v>430.0</v>
      </c>
      <c r="U241" s="16" t="s">
        <v>85</v>
      </c>
      <c r="V241" s="16" t="s">
        <v>85</v>
      </c>
      <c r="W241" s="16" t="s">
        <v>139</v>
      </c>
      <c r="X241" s="18">
        <v>3.0</v>
      </c>
      <c r="Y241" s="16" t="s">
        <v>85</v>
      </c>
      <c r="Z241" s="16" t="s">
        <v>85</v>
      </c>
      <c r="AA241" s="16" t="s">
        <v>85</v>
      </c>
      <c r="AB241" s="16" t="s">
        <v>85</v>
      </c>
      <c r="AC241" s="16" t="s">
        <v>85</v>
      </c>
      <c r="AD241" s="16" t="s">
        <v>85</v>
      </c>
      <c r="AE241" s="16" t="s">
        <v>85</v>
      </c>
      <c r="AF241" s="16" t="s">
        <v>109</v>
      </c>
      <c r="AG241" s="16" t="s">
        <v>95</v>
      </c>
      <c r="AH241" s="16" t="s">
        <v>85</v>
      </c>
      <c r="AI241" s="16" t="s">
        <v>104</v>
      </c>
      <c r="AJ241" s="16" t="s">
        <v>85</v>
      </c>
      <c r="AK241" s="16" t="s">
        <v>85</v>
      </c>
      <c r="AL241" s="16" t="s">
        <v>85</v>
      </c>
      <c r="AM241" s="16" t="s">
        <v>85</v>
      </c>
      <c r="AN241" s="16" t="s">
        <v>85</v>
      </c>
      <c r="AO241" s="16" t="s">
        <v>85</v>
      </c>
      <c r="AP241" s="16" t="s">
        <v>85</v>
      </c>
      <c r="AQ241" s="16" t="s">
        <v>85</v>
      </c>
      <c r="AR241" s="16" t="s">
        <v>85</v>
      </c>
      <c r="AS241" s="16" t="s">
        <v>85</v>
      </c>
      <c r="AT241" s="16" t="s">
        <v>85</v>
      </c>
      <c r="AU241" s="16" t="s">
        <v>85</v>
      </c>
      <c r="AV241" s="16" t="s">
        <v>85</v>
      </c>
      <c r="AW241" s="16" t="s">
        <v>85</v>
      </c>
      <c r="AX241" s="16" t="s">
        <v>85</v>
      </c>
      <c r="AY241" s="16" t="s">
        <v>85</v>
      </c>
      <c r="AZ241" s="16" t="s">
        <v>85</v>
      </c>
      <c r="BA241" s="16" t="s">
        <v>85</v>
      </c>
      <c r="BB241" s="16" t="s">
        <v>85</v>
      </c>
      <c r="BC241" s="16" t="s">
        <v>85</v>
      </c>
      <c r="BD241" s="16" t="s">
        <v>85</v>
      </c>
      <c r="BE241" s="16" t="s">
        <v>85</v>
      </c>
      <c r="BF241" s="16" t="s">
        <v>85</v>
      </c>
      <c r="BG241" s="16" t="s">
        <v>85</v>
      </c>
      <c r="BH241" s="16" t="s">
        <v>85</v>
      </c>
      <c r="BI241" s="16" t="s">
        <v>85</v>
      </c>
      <c r="BJ241" s="16" t="s">
        <v>85</v>
      </c>
      <c r="BK241" s="10"/>
    </row>
    <row r="242">
      <c r="A242" s="21"/>
      <c r="B242" s="21"/>
      <c r="C242" s="21"/>
      <c r="D242" s="21"/>
      <c r="E242" s="32">
        <v>4.0</v>
      </c>
      <c r="F242" s="19">
        <v>137.0</v>
      </c>
      <c r="G242" s="21"/>
      <c r="H242" s="21"/>
      <c r="I242" s="19">
        <v>275.0</v>
      </c>
      <c r="J242" s="21"/>
      <c r="K242" s="21"/>
      <c r="L242" s="21"/>
      <c r="M242" s="21"/>
      <c r="N242" s="21"/>
      <c r="O242" s="21"/>
      <c r="P242" s="21"/>
      <c r="Q242" s="21"/>
      <c r="R242" s="21"/>
      <c r="S242" s="21"/>
      <c r="T242" s="18">
        <v>473.0</v>
      </c>
      <c r="U242" s="21"/>
      <c r="V242" s="21"/>
      <c r="W242" s="21"/>
      <c r="X242" s="18">
        <v>4.0</v>
      </c>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10"/>
    </row>
    <row r="243">
      <c r="A243" s="21"/>
      <c r="B243" s="21"/>
      <c r="C243" s="21"/>
      <c r="D243" s="21"/>
      <c r="E243" s="32">
        <v>5.0</v>
      </c>
      <c r="F243" s="19">
        <v>151.0</v>
      </c>
      <c r="G243" s="21"/>
      <c r="H243" s="21"/>
      <c r="I243" s="19">
        <v>302.0</v>
      </c>
      <c r="J243" s="21"/>
      <c r="K243" s="21"/>
      <c r="L243" s="21"/>
      <c r="M243" s="21"/>
      <c r="N243" s="21"/>
      <c r="O243" s="21"/>
      <c r="P243" s="21"/>
      <c r="Q243" s="21"/>
      <c r="R243" s="21"/>
      <c r="S243" s="21"/>
      <c r="T243" s="18">
        <v>520.0</v>
      </c>
      <c r="U243" s="21"/>
      <c r="V243" s="21"/>
      <c r="W243" s="21"/>
      <c r="X243" s="18">
        <v>5.0</v>
      </c>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10"/>
    </row>
    <row r="244">
      <c r="A244" s="21"/>
      <c r="B244" s="21"/>
      <c r="C244" s="21"/>
      <c r="D244" s="21"/>
      <c r="E244" s="32">
        <v>6.0</v>
      </c>
      <c r="F244" s="19">
        <v>166.0</v>
      </c>
      <c r="G244" s="21"/>
      <c r="H244" s="21"/>
      <c r="I244" s="19">
        <v>332.0</v>
      </c>
      <c r="J244" s="21"/>
      <c r="K244" s="21"/>
      <c r="L244" s="21"/>
      <c r="M244" s="21"/>
      <c r="N244" s="21"/>
      <c r="O244" s="21"/>
      <c r="P244" s="21"/>
      <c r="Q244" s="21"/>
      <c r="R244" s="21"/>
      <c r="S244" s="21"/>
      <c r="T244" s="18">
        <v>571.0</v>
      </c>
      <c r="U244" s="21"/>
      <c r="V244" s="21"/>
      <c r="W244" s="21"/>
      <c r="X244" s="18">
        <v>6.0</v>
      </c>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10"/>
    </row>
    <row r="245">
      <c r="A245" s="21"/>
      <c r="B245" s="21"/>
      <c r="C245" s="21"/>
      <c r="D245" s="21"/>
      <c r="E245" s="32">
        <v>7.0</v>
      </c>
      <c r="F245" s="19">
        <v>182.0</v>
      </c>
      <c r="G245" s="21"/>
      <c r="H245" s="21"/>
      <c r="I245" s="19">
        <v>365.0</v>
      </c>
      <c r="J245" s="21"/>
      <c r="K245" s="21"/>
      <c r="L245" s="21"/>
      <c r="M245" s="21"/>
      <c r="N245" s="21"/>
      <c r="O245" s="21"/>
      <c r="P245" s="21"/>
      <c r="Q245" s="21"/>
      <c r="R245" s="21"/>
      <c r="S245" s="21"/>
      <c r="T245" s="18">
        <v>627.0</v>
      </c>
      <c r="U245" s="21"/>
      <c r="V245" s="21"/>
      <c r="W245" s="21"/>
      <c r="X245" s="18">
        <v>7.0</v>
      </c>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10"/>
    </row>
    <row r="246">
      <c r="A246" s="21"/>
      <c r="B246" s="21"/>
      <c r="C246" s="21"/>
      <c r="D246" s="21"/>
      <c r="E246" s="32">
        <v>8.0</v>
      </c>
      <c r="F246" s="19">
        <v>200.0</v>
      </c>
      <c r="G246" s="21"/>
      <c r="H246" s="21"/>
      <c r="I246" s="19">
        <v>400.0</v>
      </c>
      <c r="J246" s="21"/>
      <c r="K246" s="21"/>
      <c r="L246" s="21"/>
      <c r="M246" s="21"/>
      <c r="N246" s="21"/>
      <c r="O246" s="21"/>
      <c r="P246" s="21"/>
      <c r="Q246" s="21"/>
      <c r="R246" s="21"/>
      <c r="S246" s="21"/>
      <c r="T246" s="18">
        <v>688.0</v>
      </c>
      <c r="U246" s="21"/>
      <c r="V246" s="21"/>
      <c r="W246" s="21"/>
      <c r="X246" s="18">
        <v>8.0</v>
      </c>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10"/>
    </row>
    <row r="247">
      <c r="A247" s="21"/>
      <c r="B247" s="21"/>
      <c r="C247" s="21"/>
      <c r="D247" s="21"/>
      <c r="E247" s="32">
        <v>9.0</v>
      </c>
      <c r="F247" s="19">
        <v>220.0</v>
      </c>
      <c r="G247" s="21"/>
      <c r="H247" s="21"/>
      <c r="I247" s="19">
        <v>440.0</v>
      </c>
      <c r="J247" s="21"/>
      <c r="K247" s="21"/>
      <c r="L247" s="21"/>
      <c r="M247" s="21"/>
      <c r="N247" s="21"/>
      <c r="O247" s="21"/>
      <c r="P247" s="21"/>
      <c r="Q247" s="21"/>
      <c r="R247" s="21"/>
      <c r="S247" s="21"/>
      <c r="T247" s="18">
        <v>756.0</v>
      </c>
      <c r="U247" s="21"/>
      <c r="V247" s="21"/>
      <c r="W247" s="21"/>
      <c r="X247" s="18">
        <v>9.0</v>
      </c>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10"/>
    </row>
    <row r="248">
      <c r="A248" s="21"/>
      <c r="B248" s="21"/>
      <c r="C248" s="21"/>
      <c r="D248" s="21"/>
      <c r="E248" s="32">
        <v>10.0</v>
      </c>
      <c r="F248" s="19">
        <v>241.0</v>
      </c>
      <c r="G248" s="21"/>
      <c r="H248" s="21"/>
      <c r="I248" s="19">
        <v>482.0</v>
      </c>
      <c r="J248" s="21"/>
      <c r="K248" s="21"/>
      <c r="L248" s="21"/>
      <c r="M248" s="21"/>
      <c r="N248" s="21"/>
      <c r="O248" s="21"/>
      <c r="P248" s="21"/>
      <c r="Q248" s="21"/>
      <c r="R248" s="21"/>
      <c r="S248" s="21"/>
      <c r="T248" s="18">
        <v>829.0</v>
      </c>
      <c r="U248" s="21"/>
      <c r="V248" s="21"/>
      <c r="W248" s="21"/>
      <c r="X248" s="18">
        <v>10.0</v>
      </c>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10"/>
    </row>
    <row r="249">
      <c r="A249" s="21"/>
      <c r="B249" s="21"/>
      <c r="C249" s="21"/>
      <c r="D249" s="21"/>
      <c r="E249" s="32">
        <v>11.0</v>
      </c>
      <c r="F249" s="19">
        <v>265.0</v>
      </c>
      <c r="G249" s="21"/>
      <c r="H249" s="21"/>
      <c r="I249" s="19">
        <v>530.0</v>
      </c>
      <c r="J249" s="21"/>
      <c r="K249" s="21"/>
      <c r="L249" s="21"/>
      <c r="M249" s="21"/>
      <c r="N249" s="21"/>
      <c r="O249" s="21"/>
      <c r="P249" s="21"/>
      <c r="Q249" s="21"/>
      <c r="R249" s="21"/>
      <c r="S249" s="21"/>
      <c r="T249" s="18">
        <v>911.0</v>
      </c>
      <c r="U249" s="21"/>
      <c r="V249" s="21"/>
      <c r="W249" s="21"/>
      <c r="X249" s="18">
        <v>11.0</v>
      </c>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10"/>
    </row>
    <row r="250">
      <c r="A250" s="21"/>
      <c r="B250" s="21"/>
      <c r="C250" s="21"/>
      <c r="D250" s="21"/>
      <c r="E250" s="32">
        <v>12.0</v>
      </c>
      <c r="F250" s="19">
        <v>291.0</v>
      </c>
      <c r="G250" s="21"/>
      <c r="H250" s="21"/>
      <c r="I250" s="19">
        <v>582.0</v>
      </c>
      <c r="J250" s="21"/>
      <c r="K250" s="21"/>
      <c r="L250" s="21"/>
      <c r="M250" s="21"/>
      <c r="N250" s="21"/>
      <c r="O250" s="21"/>
      <c r="P250" s="21"/>
      <c r="Q250" s="21"/>
      <c r="R250" s="21"/>
      <c r="S250" s="21"/>
      <c r="T250" s="18">
        <v>1001.0</v>
      </c>
      <c r="U250" s="21"/>
      <c r="V250" s="21"/>
      <c r="W250" s="21"/>
      <c r="X250" s="18">
        <v>12.0</v>
      </c>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10"/>
    </row>
    <row r="251">
      <c r="A251" s="22"/>
      <c r="B251" s="22"/>
      <c r="C251" s="22"/>
      <c r="D251" s="22"/>
      <c r="E251" s="32">
        <v>13.0</v>
      </c>
      <c r="F251" s="19">
        <v>320.0</v>
      </c>
      <c r="G251" s="22"/>
      <c r="H251" s="22"/>
      <c r="I251" s="19">
        <v>640.0</v>
      </c>
      <c r="J251" s="22"/>
      <c r="K251" s="22"/>
      <c r="L251" s="22"/>
      <c r="M251" s="22"/>
      <c r="N251" s="22"/>
      <c r="O251" s="22"/>
      <c r="P251" s="22"/>
      <c r="Q251" s="22"/>
      <c r="R251" s="22"/>
      <c r="S251" s="22"/>
      <c r="T251" s="18">
        <v>1100.0</v>
      </c>
      <c r="U251" s="22"/>
      <c r="V251" s="22"/>
      <c r="W251" s="22"/>
      <c r="X251" s="18">
        <v>13.0</v>
      </c>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10"/>
    </row>
    <row r="252">
      <c r="A252" s="16" t="s">
        <v>145</v>
      </c>
      <c r="B252" s="30" t="s">
        <v>131</v>
      </c>
      <c r="C252" s="16" t="s">
        <v>84</v>
      </c>
      <c r="D252" s="16">
        <v>2.0</v>
      </c>
      <c r="E252" s="18">
        <v>6.0</v>
      </c>
      <c r="F252" s="16" t="s">
        <v>85</v>
      </c>
      <c r="G252" s="18">
        <v>151.0</v>
      </c>
      <c r="H252" s="16" t="s">
        <v>85</v>
      </c>
      <c r="I252" s="16" t="s">
        <v>85</v>
      </c>
      <c r="J252" s="16" t="s">
        <v>85</v>
      </c>
      <c r="K252" s="16" t="s">
        <v>85</v>
      </c>
      <c r="L252" s="16" t="s">
        <v>85</v>
      </c>
      <c r="M252" s="16" t="s">
        <v>85</v>
      </c>
      <c r="N252" s="16" t="s">
        <v>85</v>
      </c>
      <c r="O252" s="16" t="s">
        <v>85</v>
      </c>
      <c r="P252" s="16" t="s">
        <v>85</v>
      </c>
      <c r="Q252" s="16" t="s">
        <v>85</v>
      </c>
      <c r="R252" s="16" t="s">
        <v>85</v>
      </c>
      <c r="S252" s="16" t="s">
        <v>85</v>
      </c>
      <c r="T252" s="16" t="s">
        <v>85</v>
      </c>
      <c r="U252" s="16" t="s">
        <v>85</v>
      </c>
      <c r="V252" s="16" t="s">
        <v>85</v>
      </c>
      <c r="W252" s="16" t="s">
        <v>146</v>
      </c>
      <c r="X252" s="18">
        <v>6.0</v>
      </c>
      <c r="Y252" s="16" t="s">
        <v>85</v>
      </c>
      <c r="Z252" s="16" t="s">
        <v>85</v>
      </c>
      <c r="AA252" s="16" t="s">
        <v>85</v>
      </c>
      <c r="AB252" s="16" t="s">
        <v>85</v>
      </c>
      <c r="AC252" s="16" t="s">
        <v>85</v>
      </c>
      <c r="AD252" s="16" t="s">
        <v>85</v>
      </c>
      <c r="AE252" s="16" t="s">
        <v>85</v>
      </c>
      <c r="AF252" s="16" t="s">
        <v>98</v>
      </c>
      <c r="AG252" s="16" t="s">
        <v>85</v>
      </c>
      <c r="AH252" s="16">
        <v>2.6</v>
      </c>
      <c r="AI252" s="16">
        <v>5.0</v>
      </c>
      <c r="AJ252" s="16" t="s">
        <v>85</v>
      </c>
      <c r="AK252" s="16" t="s">
        <v>85</v>
      </c>
      <c r="AL252" s="16" t="s">
        <v>85</v>
      </c>
      <c r="AM252" s="16" t="s">
        <v>85</v>
      </c>
      <c r="AN252" s="16" t="s">
        <v>85</v>
      </c>
      <c r="AO252" s="16" t="s">
        <v>85</v>
      </c>
      <c r="AP252" s="16" t="s">
        <v>85</v>
      </c>
      <c r="AQ252" s="16" t="s">
        <v>85</v>
      </c>
      <c r="AR252" s="16" t="s">
        <v>85</v>
      </c>
      <c r="AS252" s="16" t="s">
        <v>85</v>
      </c>
      <c r="AT252" s="16" t="s">
        <v>85</v>
      </c>
      <c r="AU252" s="16" t="s">
        <v>85</v>
      </c>
      <c r="AV252" s="16" t="s">
        <v>85</v>
      </c>
      <c r="AW252" s="16" t="s">
        <v>85</v>
      </c>
      <c r="AX252" s="16" t="s">
        <v>85</v>
      </c>
      <c r="AY252" s="16" t="s">
        <v>85</v>
      </c>
      <c r="AZ252" s="16" t="s">
        <v>85</v>
      </c>
      <c r="BA252" s="16" t="s">
        <v>85</v>
      </c>
      <c r="BB252" s="16" t="s">
        <v>85</v>
      </c>
      <c r="BC252" s="16" t="s">
        <v>85</v>
      </c>
      <c r="BD252" s="16" t="s">
        <v>85</v>
      </c>
      <c r="BE252" s="16" t="s">
        <v>85</v>
      </c>
      <c r="BF252" s="16" t="s">
        <v>85</v>
      </c>
      <c r="BG252" s="16" t="s">
        <v>85</v>
      </c>
      <c r="BH252" s="16" t="s">
        <v>85</v>
      </c>
      <c r="BI252" s="16" t="s">
        <v>85</v>
      </c>
      <c r="BJ252" s="16" t="s">
        <v>85</v>
      </c>
      <c r="BK252" s="10"/>
    </row>
    <row r="253">
      <c r="A253" s="21"/>
      <c r="B253" s="21"/>
      <c r="C253" s="21"/>
      <c r="D253" s="21"/>
      <c r="E253" s="18">
        <v>7.0</v>
      </c>
      <c r="F253" s="21"/>
      <c r="G253" s="19">
        <v>166.0</v>
      </c>
      <c r="H253" s="21"/>
      <c r="I253" s="21"/>
      <c r="J253" s="21"/>
      <c r="K253" s="21"/>
      <c r="L253" s="21"/>
      <c r="M253" s="21"/>
      <c r="N253" s="21"/>
      <c r="O253" s="21"/>
      <c r="P253" s="21"/>
      <c r="Q253" s="21"/>
      <c r="R253" s="21"/>
      <c r="S253" s="21"/>
      <c r="T253" s="21"/>
      <c r="U253" s="21"/>
      <c r="V253" s="21"/>
      <c r="W253" s="21"/>
      <c r="X253" s="18">
        <v>7.0</v>
      </c>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10"/>
    </row>
    <row r="254">
      <c r="A254" s="21"/>
      <c r="B254" s="21"/>
      <c r="C254" s="21"/>
      <c r="D254" s="21"/>
      <c r="E254" s="18">
        <v>8.0</v>
      </c>
      <c r="F254" s="21"/>
      <c r="G254" s="19">
        <v>182.0</v>
      </c>
      <c r="H254" s="21"/>
      <c r="I254" s="21"/>
      <c r="J254" s="21"/>
      <c r="K254" s="21"/>
      <c r="L254" s="21"/>
      <c r="M254" s="21"/>
      <c r="N254" s="21"/>
      <c r="O254" s="21"/>
      <c r="P254" s="21"/>
      <c r="Q254" s="21"/>
      <c r="R254" s="21"/>
      <c r="S254" s="21"/>
      <c r="T254" s="21"/>
      <c r="U254" s="21"/>
      <c r="V254" s="21"/>
      <c r="W254" s="21"/>
      <c r="X254" s="18">
        <v>8.0</v>
      </c>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10"/>
    </row>
    <row r="255">
      <c r="A255" s="21"/>
      <c r="B255" s="21"/>
      <c r="C255" s="21"/>
      <c r="D255" s="21"/>
      <c r="E255" s="18">
        <v>9.0</v>
      </c>
      <c r="F255" s="21"/>
      <c r="G255" s="19">
        <v>200.0</v>
      </c>
      <c r="H255" s="21"/>
      <c r="I255" s="21"/>
      <c r="J255" s="21"/>
      <c r="K255" s="21"/>
      <c r="L255" s="21"/>
      <c r="M255" s="21"/>
      <c r="N255" s="21"/>
      <c r="O255" s="21"/>
      <c r="P255" s="21"/>
      <c r="Q255" s="21"/>
      <c r="R255" s="21"/>
      <c r="S255" s="21"/>
      <c r="T255" s="21"/>
      <c r="U255" s="21"/>
      <c r="V255" s="21"/>
      <c r="W255" s="21"/>
      <c r="X255" s="18">
        <v>9.0</v>
      </c>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10"/>
    </row>
    <row r="256">
      <c r="A256" s="21"/>
      <c r="B256" s="21"/>
      <c r="C256" s="21"/>
      <c r="D256" s="21"/>
      <c r="E256" s="18">
        <v>10.0</v>
      </c>
      <c r="F256" s="21"/>
      <c r="G256" s="19">
        <v>220.0</v>
      </c>
      <c r="H256" s="21"/>
      <c r="I256" s="21"/>
      <c r="J256" s="21"/>
      <c r="K256" s="21"/>
      <c r="L256" s="21"/>
      <c r="M256" s="21"/>
      <c r="N256" s="21"/>
      <c r="O256" s="21"/>
      <c r="P256" s="21"/>
      <c r="Q256" s="21"/>
      <c r="R256" s="21"/>
      <c r="S256" s="21"/>
      <c r="T256" s="21"/>
      <c r="U256" s="21"/>
      <c r="V256" s="21"/>
      <c r="W256" s="21"/>
      <c r="X256" s="18">
        <v>10.0</v>
      </c>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10"/>
    </row>
    <row r="257">
      <c r="A257" s="21"/>
      <c r="B257" s="21"/>
      <c r="C257" s="21"/>
      <c r="D257" s="21"/>
      <c r="E257" s="18">
        <v>11.0</v>
      </c>
      <c r="F257" s="21"/>
      <c r="G257" s="19">
        <v>241.0</v>
      </c>
      <c r="H257" s="21"/>
      <c r="I257" s="21"/>
      <c r="J257" s="21"/>
      <c r="K257" s="21"/>
      <c r="L257" s="21"/>
      <c r="M257" s="21"/>
      <c r="N257" s="21"/>
      <c r="O257" s="21"/>
      <c r="P257" s="21"/>
      <c r="Q257" s="21"/>
      <c r="R257" s="21"/>
      <c r="S257" s="21"/>
      <c r="T257" s="21"/>
      <c r="U257" s="21"/>
      <c r="V257" s="21"/>
      <c r="W257" s="21"/>
      <c r="X257" s="18">
        <v>11.0</v>
      </c>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10"/>
    </row>
    <row r="258">
      <c r="A258" s="21"/>
      <c r="B258" s="21"/>
      <c r="C258" s="21"/>
      <c r="D258" s="21"/>
      <c r="E258" s="18">
        <v>12.0</v>
      </c>
      <c r="F258" s="21"/>
      <c r="G258" s="19">
        <v>265.0</v>
      </c>
      <c r="H258" s="21"/>
      <c r="I258" s="21"/>
      <c r="J258" s="21"/>
      <c r="K258" s="21"/>
      <c r="L258" s="21"/>
      <c r="M258" s="21"/>
      <c r="N258" s="21"/>
      <c r="O258" s="21"/>
      <c r="P258" s="21"/>
      <c r="Q258" s="21"/>
      <c r="R258" s="21"/>
      <c r="S258" s="21"/>
      <c r="T258" s="21"/>
      <c r="U258" s="21"/>
      <c r="V258" s="21"/>
      <c r="W258" s="21"/>
      <c r="X258" s="18">
        <v>12.0</v>
      </c>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10"/>
    </row>
    <row r="259">
      <c r="A259" s="22"/>
      <c r="B259" s="22"/>
      <c r="C259" s="22"/>
      <c r="D259" s="22"/>
      <c r="E259" s="18">
        <v>13.0</v>
      </c>
      <c r="F259" s="22"/>
      <c r="G259" s="19">
        <v>291.0</v>
      </c>
      <c r="H259" s="22"/>
      <c r="I259" s="22"/>
      <c r="J259" s="22"/>
      <c r="K259" s="22"/>
      <c r="L259" s="22"/>
      <c r="M259" s="22"/>
      <c r="N259" s="22"/>
      <c r="O259" s="22"/>
      <c r="P259" s="22"/>
      <c r="Q259" s="22"/>
      <c r="R259" s="22"/>
      <c r="S259" s="22"/>
      <c r="T259" s="22"/>
      <c r="U259" s="22"/>
      <c r="V259" s="22"/>
      <c r="W259" s="22"/>
      <c r="X259" s="18">
        <v>13.0</v>
      </c>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10"/>
    </row>
    <row r="260">
      <c r="A260" s="16" t="s">
        <v>147</v>
      </c>
      <c r="B260" s="30" t="s">
        <v>131</v>
      </c>
      <c r="C260" s="16" t="s">
        <v>84</v>
      </c>
      <c r="D260" s="16">
        <v>3.0</v>
      </c>
      <c r="E260" s="18">
        <v>6.0</v>
      </c>
      <c r="F260" s="16" t="s">
        <v>85</v>
      </c>
      <c r="G260" s="16" t="s">
        <v>85</v>
      </c>
      <c r="H260" s="16" t="s">
        <v>85</v>
      </c>
      <c r="I260" s="16" t="s">
        <v>85</v>
      </c>
      <c r="J260" s="16" t="s">
        <v>85</v>
      </c>
      <c r="K260" s="16" t="s">
        <v>85</v>
      </c>
      <c r="L260" s="16" t="s">
        <v>85</v>
      </c>
      <c r="M260" s="16" t="s">
        <v>85</v>
      </c>
      <c r="N260" s="16" t="s">
        <v>85</v>
      </c>
      <c r="O260" s="16" t="s">
        <v>85</v>
      </c>
      <c r="P260" s="16" t="s">
        <v>85</v>
      </c>
      <c r="Q260" s="16" t="s">
        <v>85</v>
      </c>
      <c r="R260" s="16" t="s">
        <v>85</v>
      </c>
      <c r="S260" s="16" t="s">
        <v>85</v>
      </c>
      <c r="T260" s="16" t="s">
        <v>85</v>
      </c>
      <c r="U260" s="16" t="s">
        <v>85</v>
      </c>
      <c r="V260" s="16" t="s">
        <v>85</v>
      </c>
      <c r="W260" s="16" t="s">
        <v>115</v>
      </c>
      <c r="X260" s="18">
        <v>6.0</v>
      </c>
      <c r="Y260" s="16" t="s">
        <v>85</v>
      </c>
      <c r="Z260" s="16" t="s">
        <v>85</v>
      </c>
      <c r="AA260" s="16" t="s">
        <v>85</v>
      </c>
      <c r="AB260" s="16" t="s">
        <v>85</v>
      </c>
      <c r="AC260" s="16" t="s">
        <v>85</v>
      </c>
      <c r="AD260" s="16" t="s">
        <v>85</v>
      </c>
      <c r="AE260" s="16" t="s">
        <v>85</v>
      </c>
      <c r="AF260" s="16" t="s">
        <v>85</v>
      </c>
      <c r="AG260" s="16" t="s">
        <v>85</v>
      </c>
      <c r="AH260" s="16" t="s">
        <v>85</v>
      </c>
      <c r="AI260" s="16" t="s">
        <v>85</v>
      </c>
      <c r="AJ260" s="16" t="s">
        <v>85</v>
      </c>
      <c r="AK260" s="16" t="s">
        <v>85</v>
      </c>
      <c r="AL260" s="16" t="s">
        <v>85</v>
      </c>
      <c r="AM260" s="16" t="s">
        <v>85</v>
      </c>
      <c r="AN260" s="16" t="s">
        <v>92</v>
      </c>
      <c r="AO260" s="16" t="s">
        <v>85</v>
      </c>
      <c r="AP260" s="16" t="s">
        <v>85</v>
      </c>
      <c r="AQ260" s="16" t="s">
        <v>85</v>
      </c>
      <c r="AR260" s="16" t="s">
        <v>85</v>
      </c>
      <c r="AS260" s="16" t="s">
        <v>85</v>
      </c>
      <c r="AT260" s="16" t="s">
        <v>85</v>
      </c>
      <c r="AU260" s="16" t="s">
        <v>85</v>
      </c>
      <c r="AV260" s="16" t="s">
        <v>85</v>
      </c>
      <c r="AW260" s="16" t="s">
        <v>85</v>
      </c>
      <c r="AX260" s="16" t="s">
        <v>85</v>
      </c>
      <c r="AY260" s="16" t="s">
        <v>85</v>
      </c>
      <c r="AZ260" s="16" t="s">
        <v>85</v>
      </c>
      <c r="BA260" s="16" t="s">
        <v>85</v>
      </c>
      <c r="BB260" s="16" t="s">
        <v>85</v>
      </c>
      <c r="BC260" s="16" t="s">
        <v>85</v>
      </c>
      <c r="BD260" s="16" t="s">
        <v>85</v>
      </c>
      <c r="BE260" s="16" t="s">
        <v>85</v>
      </c>
      <c r="BF260" s="16" t="s">
        <v>85</v>
      </c>
      <c r="BG260" s="16" t="s">
        <v>85</v>
      </c>
      <c r="BH260" s="16" t="s">
        <v>85</v>
      </c>
      <c r="BI260" s="16" t="s">
        <v>85</v>
      </c>
      <c r="BJ260" s="16">
        <v>1.5</v>
      </c>
      <c r="BK260" s="10"/>
    </row>
    <row r="261">
      <c r="A261" s="21"/>
      <c r="B261" s="21"/>
      <c r="C261" s="21"/>
      <c r="D261" s="21"/>
      <c r="E261" s="18">
        <v>7.0</v>
      </c>
      <c r="F261" s="21"/>
      <c r="G261" s="21"/>
      <c r="H261" s="21"/>
      <c r="I261" s="21"/>
      <c r="J261" s="21"/>
      <c r="K261" s="21"/>
      <c r="L261" s="21"/>
      <c r="M261" s="21"/>
      <c r="N261" s="21"/>
      <c r="O261" s="21"/>
      <c r="P261" s="21"/>
      <c r="Q261" s="21"/>
      <c r="R261" s="21"/>
      <c r="S261" s="21"/>
      <c r="T261" s="21"/>
      <c r="U261" s="21"/>
      <c r="V261" s="21"/>
      <c r="W261" s="21"/>
      <c r="X261" s="18">
        <v>7.0</v>
      </c>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10"/>
    </row>
    <row r="262">
      <c r="A262" s="21"/>
      <c r="B262" s="21"/>
      <c r="C262" s="21"/>
      <c r="D262" s="21"/>
      <c r="E262" s="18">
        <v>8.0</v>
      </c>
      <c r="F262" s="21"/>
      <c r="G262" s="21"/>
      <c r="H262" s="21"/>
      <c r="I262" s="21"/>
      <c r="J262" s="21"/>
      <c r="K262" s="21"/>
      <c r="L262" s="21"/>
      <c r="M262" s="21"/>
      <c r="N262" s="21"/>
      <c r="O262" s="21"/>
      <c r="P262" s="21"/>
      <c r="Q262" s="21"/>
      <c r="R262" s="21"/>
      <c r="S262" s="21"/>
      <c r="T262" s="21"/>
      <c r="U262" s="21"/>
      <c r="V262" s="21"/>
      <c r="W262" s="21"/>
      <c r="X262" s="18">
        <v>8.0</v>
      </c>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10"/>
    </row>
    <row r="263">
      <c r="A263" s="21"/>
      <c r="B263" s="21"/>
      <c r="C263" s="21"/>
      <c r="D263" s="21"/>
      <c r="E263" s="18">
        <v>9.0</v>
      </c>
      <c r="F263" s="21"/>
      <c r="G263" s="21"/>
      <c r="H263" s="21"/>
      <c r="I263" s="21"/>
      <c r="J263" s="21"/>
      <c r="K263" s="21"/>
      <c r="L263" s="21"/>
      <c r="M263" s="21"/>
      <c r="N263" s="21"/>
      <c r="O263" s="21"/>
      <c r="P263" s="21"/>
      <c r="Q263" s="21"/>
      <c r="R263" s="21"/>
      <c r="S263" s="21"/>
      <c r="T263" s="21"/>
      <c r="U263" s="21"/>
      <c r="V263" s="21"/>
      <c r="W263" s="21"/>
      <c r="X263" s="18">
        <v>9.0</v>
      </c>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10"/>
    </row>
    <row r="264">
      <c r="A264" s="21"/>
      <c r="B264" s="21"/>
      <c r="C264" s="21"/>
      <c r="D264" s="21"/>
      <c r="E264" s="18">
        <v>10.0</v>
      </c>
      <c r="F264" s="21"/>
      <c r="G264" s="21"/>
      <c r="H264" s="21"/>
      <c r="I264" s="21"/>
      <c r="J264" s="21"/>
      <c r="K264" s="21"/>
      <c r="L264" s="21"/>
      <c r="M264" s="21"/>
      <c r="N264" s="21"/>
      <c r="O264" s="21"/>
      <c r="P264" s="21"/>
      <c r="Q264" s="21"/>
      <c r="R264" s="21"/>
      <c r="S264" s="21"/>
      <c r="T264" s="21"/>
      <c r="U264" s="21"/>
      <c r="V264" s="21"/>
      <c r="W264" s="21"/>
      <c r="X264" s="18">
        <v>10.0</v>
      </c>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10"/>
    </row>
    <row r="265">
      <c r="A265" s="21"/>
      <c r="B265" s="21"/>
      <c r="C265" s="21"/>
      <c r="D265" s="21"/>
      <c r="E265" s="18">
        <v>11.0</v>
      </c>
      <c r="F265" s="21"/>
      <c r="G265" s="21"/>
      <c r="H265" s="21"/>
      <c r="I265" s="21"/>
      <c r="J265" s="21"/>
      <c r="K265" s="21"/>
      <c r="L265" s="21"/>
      <c r="M265" s="21"/>
      <c r="N265" s="21"/>
      <c r="O265" s="21"/>
      <c r="P265" s="21"/>
      <c r="Q265" s="21"/>
      <c r="R265" s="21"/>
      <c r="S265" s="21"/>
      <c r="T265" s="21"/>
      <c r="U265" s="21"/>
      <c r="V265" s="21"/>
      <c r="W265" s="21"/>
      <c r="X265" s="18">
        <v>11.0</v>
      </c>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10"/>
    </row>
    <row r="266">
      <c r="A266" s="21"/>
      <c r="B266" s="21"/>
      <c r="C266" s="21"/>
      <c r="D266" s="21"/>
      <c r="E266" s="18">
        <v>12.0</v>
      </c>
      <c r="F266" s="21"/>
      <c r="G266" s="21"/>
      <c r="H266" s="21"/>
      <c r="I266" s="21"/>
      <c r="J266" s="21"/>
      <c r="K266" s="21"/>
      <c r="L266" s="21"/>
      <c r="M266" s="21"/>
      <c r="N266" s="21"/>
      <c r="O266" s="21"/>
      <c r="P266" s="21"/>
      <c r="Q266" s="21"/>
      <c r="R266" s="21"/>
      <c r="S266" s="21"/>
      <c r="T266" s="21"/>
      <c r="U266" s="21"/>
      <c r="V266" s="21"/>
      <c r="W266" s="21"/>
      <c r="X266" s="18">
        <v>12.0</v>
      </c>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10"/>
    </row>
    <row r="267">
      <c r="A267" s="22"/>
      <c r="B267" s="22"/>
      <c r="C267" s="22"/>
      <c r="D267" s="22"/>
      <c r="E267" s="18">
        <v>13.0</v>
      </c>
      <c r="F267" s="22"/>
      <c r="G267" s="22"/>
      <c r="H267" s="22"/>
      <c r="I267" s="22"/>
      <c r="J267" s="22"/>
      <c r="K267" s="22"/>
      <c r="L267" s="22"/>
      <c r="M267" s="22"/>
      <c r="N267" s="22"/>
      <c r="O267" s="22"/>
      <c r="P267" s="22"/>
      <c r="Q267" s="22"/>
      <c r="R267" s="22"/>
      <c r="S267" s="22"/>
      <c r="T267" s="22"/>
      <c r="U267" s="22"/>
      <c r="V267" s="22"/>
      <c r="W267" s="22"/>
      <c r="X267" s="18">
        <v>13.0</v>
      </c>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10"/>
    </row>
    <row r="268">
      <c r="A268" s="12" t="s">
        <v>148</v>
      </c>
      <c r="B268" s="13" t="s">
        <v>149</v>
      </c>
      <c r="C268" s="14"/>
      <c r="D268" s="14"/>
      <c r="E268" s="15"/>
      <c r="F268" s="29"/>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5"/>
      <c r="BK268" s="10"/>
    </row>
    <row r="269">
      <c r="A269" s="16" t="s">
        <v>150</v>
      </c>
      <c r="B269" s="17" t="s">
        <v>83</v>
      </c>
      <c r="C269" s="16" t="s">
        <v>87</v>
      </c>
      <c r="D269" s="16">
        <v>4.0</v>
      </c>
      <c r="E269" s="18">
        <v>1.0</v>
      </c>
      <c r="F269" s="16" t="s">
        <v>85</v>
      </c>
      <c r="G269" s="18">
        <v>63.0</v>
      </c>
      <c r="H269" s="16" t="s">
        <v>85</v>
      </c>
      <c r="I269" s="16" t="s">
        <v>85</v>
      </c>
      <c r="J269" s="16" t="s">
        <v>85</v>
      </c>
      <c r="K269" s="16" t="s">
        <v>85</v>
      </c>
      <c r="L269" s="16" t="s">
        <v>85</v>
      </c>
      <c r="M269" s="16" t="s">
        <v>85</v>
      </c>
      <c r="N269" s="16" t="s">
        <v>85</v>
      </c>
      <c r="O269" s="16" t="s">
        <v>85</v>
      </c>
      <c r="P269" s="16" t="s">
        <v>85</v>
      </c>
      <c r="Q269" s="19">
        <v>33.0</v>
      </c>
      <c r="R269" s="16" t="s">
        <v>85</v>
      </c>
      <c r="S269" s="16" t="s">
        <v>85</v>
      </c>
      <c r="T269" s="18">
        <v>208.0</v>
      </c>
      <c r="U269" s="16" t="s">
        <v>85</v>
      </c>
      <c r="V269" s="16" t="s">
        <v>85</v>
      </c>
      <c r="W269" s="16" t="s">
        <v>85</v>
      </c>
      <c r="X269" s="16" t="s">
        <v>85</v>
      </c>
      <c r="Y269" s="16" t="s">
        <v>85</v>
      </c>
      <c r="Z269" s="16" t="s">
        <v>85</v>
      </c>
      <c r="AA269" s="16" t="s">
        <v>85</v>
      </c>
      <c r="AB269" s="16" t="s">
        <v>85</v>
      </c>
      <c r="AC269" s="16" t="s">
        <v>85</v>
      </c>
      <c r="AD269" s="16" t="s">
        <v>85</v>
      </c>
      <c r="AE269" s="16" t="s">
        <v>151</v>
      </c>
      <c r="AF269" s="16" t="s">
        <v>89</v>
      </c>
      <c r="AG269" s="16" t="s">
        <v>90</v>
      </c>
      <c r="AH269" s="16" t="s">
        <v>85</v>
      </c>
      <c r="AI269" s="16">
        <v>3.5</v>
      </c>
      <c r="AJ269" s="16" t="s">
        <v>85</v>
      </c>
      <c r="AK269" s="16" t="s">
        <v>85</v>
      </c>
      <c r="AL269" s="16" t="s">
        <v>85</v>
      </c>
      <c r="AM269" s="16" t="s">
        <v>96</v>
      </c>
      <c r="AN269" s="16" t="s">
        <v>85</v>
      </c>
      <c r="AO269" s="16" t="s">
        <v>85</v>
      </c>
      <c r="AP269" s="16" t="s">
        <v>85</v>
      </c>
      <c r="AQ269" s="16" t="s">
        <v>85</v>
      </c>
      <c r="AR269" s="16" t="s">
        <v>85</v>
      </c>
      <c r="AS269" s="16" t="s">
        <v>85</v>
      </c>
      <c r="AT269" s="16" t="s">
        <v>85</v>
      </c>
      <c r="AU269" s="16" t="s">
        <v>85</v>
      </c>
      <c r="AV269" s="16" t="s">
        <v>85</v>
      </c>
      <c r="AW269" s="16" t="s">
        <v>85</v>
      </c>
      <c r="AX269" s="16" t="s">
        <v>85</v>
      </c>
      <c r="AY269" s="16" t="s">
        <v>85</v>
      </c>
      <c r="AZ269" s="16" t="s">
        <v>85</v>
      </c>
      <c r="BA269" s="16" t="s">
        <v>85</v>
      </c>
      <c r="BB269" s="16" t="s">
        <v>85</v>
      </c>
      <c r="BC269" s="16" t="s">
        <v>85</v>
      </c>
      <c r="BD269" s="16" t="s">
        <v>85</v>
      </c>
      <c r="BE269" s="16" t="s">
        <v>85</v>
      </c>
      <c r="BF269" s="16" t="s">
        <v>85</v>
      </c>
      <c r="BG269" s="16" t="s">
        <v>85</v>
      </c>
      <c r="BH269" s="16" t="s">
        <v>85</v>
      </c>
      <c r="BI269" s="16" t="s">
        <v>85</v>
      </c>
      <c r="BJ269" s="16" t="s">
        <v>85</v>
      </c>
      <c r="BK269" s="10"/>
    </row>
    <row r="270">
      <c r="A270" s="21"/>
      <c r="B270" s="21"/>
      <c r="C270" s="21"/>
      <c r="D270" s="21"/>
      <c r="E270" s="18">
        <v>2.0</v>
      </c>
      <c r="F270" s="21"/>
      <c r="G270" s="19">
        <v>69.0</v>
      </c>
      <c r="H270" s="21"/>
      <c r="I270" s="21"/>
      <c r="J270" s="21"/>
      <c r="K270" s="21"/>
      <c r="L270" s="21"/>
      <c r="M270" s="21"/>
      <c r="N270" s="21"/>
      <c r="O270" s="21"/>
      <c r="P270" s="21"/>
      <c r="Q270" s="19">
        <v>36.0</v>
      </c>
      <c r="R270" s="21"/>
      <c r="S270" s="21"/>
      <c r="T270" s="19">
        <v>228.0</v>
      </c>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10"/>
    </row>
    <row r="271">
      <c r="A271" s="21"/>
      <c r="B271" s="21"/>
      <c r="C271" s="21"/>
      <c r="D271" s="21"/>
      <c r="E271" s="18">
        <v>3.0</v>
      </c>
      <c r="F271" s="21"/>
      <c r="G271" s="19">
        <v>76.0</v>
      </c>
      <c r="H271" s="21"/>
      <c r="I271" s="21"/>
      <c r="J271" s="21"/>
      <c r="K271" s="21"/>
      <c r="L271" s="21"/>
      <c r="M271" s="21"/>
      <c r="N271" s="21"/>
      <c r="O271" s="21"/>
      <c r="P271" s="21"/>
      <c r="Q271" s="19">
        <v>40.0</v>
      </c>
      <c r="R271" s="21"/>
      <c r="S271" s="21"/>
      <c r="T271" s="19">
        <v>251.0</v>
      </c>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10"/>
    </row>
    <row r="272">
      <c r="A272" s="21"/>
      <c r="B272" s="21"/>
      <c r="C272" s="21"/>
      <c r="D272" s="21"/>
      <c r="E272" s="18">
        <v>4.0</v>
      </c>
      <c r="F272" s="21"/>
      <c r="G272" s="19">
        <v>83.0</v>
      </c>
      <c r="H272" s="21"/>
      <c r="I272" s="21"/>
      <c r="J272" s="21"/>
      <c r="K272" s="21"/>
      <c r="L272" s="21"/>
      <c r="M272" s="21"/>
      <c r="N272" s="21"/>
      <c r="O272" s="21"/>
      <c r="P272" s="21"/>
      <c r="Q272" s="19">
        <v>43.0</v>
      </c>
      <c r="R272" s="21"/>
      <c r="S272" s="21"/>
      <c r="T272" s="19">
        <v>276.0</v>
      </c>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10"/>
    </row>
    <row r="273">
      <c r="A273" s="21"/>
      <c r="B273" s="21"/>
      <c r="C273" s="21"/>
      <c r="D273" s="21"/>
      <c r="E273" s="18">
        <v>5.0</v>
      </c>
      <c r="F273" s="21"/>
      <c r="G273" s="19">
        <v>91.0</v>
      </c>
      <c r="H273" s="21"/>
      <c r="I273" s="21"/>
      <c r="J273" s="21"/>
      <c r="K273" s="21"/>
      <c r="L273" s="21"/>
      <c r="M273" s="21"/>
      <c r="N273" s="21"/>
      <c r="O273" s="21"/>
      <c r="P273" s="21"/>
      <c r="Q273" s="19">
        <v>47.0</v>
      </c>
      <c r="R273" s="21"/>
      <c r="S273" s="21"/>
      <c r="T273" s="19">
        <v>303.0</v>
      </c>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10"/>
    </row>
    <row r="274">
      <c r="A274" s="21"/>
      <c r="B274" s="21"/>
      <c r="C274" s="21"/>
      <c r="D274" s="21"/>
      <c r="E274" s="18">
        <v>6.0</v>
      </c>
      <c r="F274" s="21"/>
      <c r="G274" s="19">
        <v>100.0</v>
      </c>
      <c r="H274" s="21"/>
      <c r="I274" s="21"/>
      <c r="J274" s="21"/>
      <c r="K274" s="21"/>
      <c r="L274" s="21"/>
      <c r="M274" s="21"/>
      <c r="N274" s="21"/>
      <c r="O274" s="21"/>
      <c r="P274" s="21"/>
      <c r="Q274" s="19">
        <v>52.0</v>
      </c>
      <c r="R274" s="21"/>
      <c r="S274" s="21"/>
      <c r="T274" s="19">
        <v>332.0</v>
      </c>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10"/>
    </row>
    <row r="275">
      <c r="A275" s="21"/>
      <c r="B275" s="21"/>
      <c r="C275" s="21"/>
      <c r="D275" s="21"/>
      <c r="E275" s="18">
        <v>7.0</v>
      </c>
      <c r="F275" s="21"/>
      <c r="G275" s="19">
        <v>110.0</v>
      </c>
      <c r="H275" s="21"/>
      <c r="I275" s="21"/>
      <c r="J275" s="21"/>
      <c r="K275" s="21"/>
      <c r="L275" s="21"/>
      <c r="M275" s="21"/>
      <c r="N275" s="21"/>
      <c r="O275" s="21"/>
      <c r="P275" s="21"/>
      <c r="Q275" s="19">
        <v>57.0</v>
      </c>
      <c r="R275" s="21"/>
      <c r="S275" s="21"/>
      <c r="T275" s="19">
        <v>366.0</v>
      </c>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10"/>
    </row>
    <row r="276">
      <c r="A276" s="21"/>
      <c r="B276" s="21"/>
      <c r="C276" s="21"/>
      <c r="D276" s="21"/>
      <c r="E276" s="18">
        <v>8.0</v>
      </c>
      <c r="F276" s="21"/>
      <c r="G276" s="19">
        <v>121.0</v>
      </c>
      <c r="H276" s="21"/>
      <c r="I276" s="21"/>
      <c r="J276" s="21"/>
      <c r="K276" s="21"/>
      <c r="L276" s="21"/>
      <c r="M276" s="21"/>
      <c r="N276" s="21"/>
      <c r="O276" s="21"/>
      <c r="P276" s="21"/>
      <c r="Q276" s="19">
        <v>63.0</v>
      </c>
      <c r="R276" s="21"/>
      <c r="S276" s="21"/>
      <c r="T276" s="19">
        <v>401.0</v>
      </c>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10"/>
    </row>
    <row r="277">
      <c r="A277" s="21"/>
      <c r="B277" s="21"/>
      <c r="C277" s="21"/>
      <c r="D277" s="21"/>
      <c r="E277" s="18">
        <v>9.0</v>
      </c>
      <c r="F277" s="21"/>
      <c r="G277" s="19">
        <v>133.0</v>
      </c>
      <c r="H277" s="21"/>
      <c r="I277" s="21"/>
      <c r="J277" s="21"/>
      <c r="K277" s="21"/>
      <c r="L277" s="21"/>
      <c r="M277" s="21"/>
      <c r="N277" s="21"/>
      <c r="O277" s="21"/>
      <c r="P277" s="21"/>
      <c r="Q277" s="19">
        <v>70.0</v>
      </c>
      <c r="R277" s="21"/>
      <c r="S277" s="21"/>
      <c r="T277" s="19">
        <v>440.0</v>
      </c>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10"/>
    </row>
    <row r="278">
      <c r="A278" s="21"/>
      <c r="B278" s="21"/>
      <c r="C278" s="21"/>
      <c r="D278" s="21"/>
      <c r="E278" s="18">
        <v>10.0</v>
      </c>
      <c r="F278" s="21"/>
      <c r="G278" s="19">
        <v>146.0</v>
      </c>
      <c r="H278" s="21"/>
      <c r="I278" s="21"/>
      <c r="J278" s="21"/>
      <c r="K278" s="21"/>
      <c r="L278" s="21"/>
      <c r="M278" s="21"/>
      <c r="N278" s="21"/>
      <c r="O278" s="21"/>
      <c r="P278" s="21"/>
      <c r="Q278" s="19">
        <v>76.0</v>
      </c>
      <c r="R278" s="21"/>
      <c r="S278" s="21"/>
      <c r="T278" s="19">
        <v>484.0</v>
      </c>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10"/>
    </row>
    <row r="279">
      <c r="A279" s="21"/>
      <c r="B279" s="21"/>
      <c r="C279" s="21"/>
      <c r="D279" s="21"/>
      <c r="E279" s="18">
        <v>11.0</v>
      </c>
      <c r="F279" s="21"/>
      <c r="G279" s="19">
        <v>161.0</v>
      </c>
      <c r="H279" s="21"/>
      <c r="I279" s="21"/>
      <c r="J279" s="21"/>
      <c r="K279" s="21"/>
      <c r="L279" s="21"/>
      <c r="M279" s="21"/>
      <c r="N279" s="21"/>
      <c r="O279" s="21"/>
      <c r="P279" s="21"/>
      <c r="Q279" s="19">
        <v>84.0</v>
      </c>
      <c r="R279" s="21"/>
      <c r="S279" s="21"/>
      <c r="T279" s="19">
        <v>532.0</v>
      </c>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10"/>
    </row>
    <row r="280">
      <c r="A280" s="21"/>
      <c r="B280" s="21"/>
      <c r="C280" s="21"/>
      <c r="D280" s="21"/>
      <c r="E280" s="18">
        <v>12.0</v>
      </c>
      <c r="F280" s="21"/>
      <c r="G280" s="19">
        <v>177.0</v>
      </c>
      <c r="H280" s="21"/>
      <c r="I280" s="21"/>
      <c r="J280" s="21"/>
      <c r="K280" s="21"/>
      <c r="L280" s="21"/>
      <c r="M280" s="21"/>
      <c r="N280" s="21"/>
      <c r="O280" s="21"/>
      <c r="P280" s="21"/>
      <c r="Q280" s="19">
        <v>93.0</v>
      </c>
      <c r="R280" s="21"/>
      <c r="S280" s="21"/>
      <c r="T280" s="19">
        <v>584.0</v>
      </c>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10"/>
    </row>
    <row r="281">
      <c r="A281" s="22"/>
      <c r="B281" s="22"/>
      <c r="C281" s="22"/>
      <c r="D281" s="22"/>
      <c r="E281" s="18">
        <v>13.0</v>
      </c>
      <c r="F281" s="22"/>
      <c r="G281" s="19">
        <v>194.0</v>
      </c>
      <c r="H281" s="22"/>
      <c r="I281" s="22"/>
      <c r="J281" s="22"/>
      <c r="K281" s="22"/>
      <c r="L281" s="22"/>
      <c r="M281" s="22"/>
      <c r="N281" s="22"/>
      <c r="O281" s="22"/>
      <c r="P281" s="22"/>
      <c r="Q281" s="19">
        <v>102.0</v>
      </c>
      <c r="R281" s="22"/>
      <c r="S281" s="22"/>
      <c r="T281" s="19">
        <v>642.0</v>
      </c>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10"/>
    </row>
    <row r="282">
      <c r="A282" s="16" t="s">
        <v>152</v>
      </c>
      <c r="B282" s="33" t="s">
        <v>83</v>
      </c>
      <c r="C282" s="16" t="s">
        <v>87</v>
      </c>
      <c r="D282" s="16">
        <v>1.0</v>
      </c>
      <c r="E282" s="32">
        <v>1.0</v>
      </c>
      <c r="F282" s="16" t="s">
        <v>85</v>
      </c>
      <c r="G282" s="18">
        <v>89.0</v>
      </c>
      <c r="H282" s="16" t="s">
        <v>85</v>
      </c>
      <c r="I282" s="16" t="s">
        <v>85</v>
      </c>
      <c r="J282" s="16" t="s">
        <v>85</v>
      </c>
      <c r="K282" s="16" t="s">
        <v>85</v>
      </c>
      <c r="L282" s="16" t="s">
        <v>85</v>
      </c>
      <c r="M282" s="16" t="s">
        <v>85</v>
      </c>
      <c r="N282" s="16" t="s">
        <v>85</v>
      </c>
      <c r="O282" s="16" t="s">
        <v>85</v>
      </c>
      <c r="P282" s="16" t="s">
        <v>85</v>
      </c>
      <c r="Q282" s="16" t="s">
        <v>85</v>
      </c>
      <c r="R282" s="16" t="s">
        <v>85</v>
      </c>
      <c r="S282" s="16" t="s">
        <v>85</v>
      </c>
      <c r="T282" s="18">
        <v>90.0</v>
      </c>
      <c r="U282" s="16" t="s">
        <v>85</v>
      </c>
      <c r="V282" s="16" t="s">
        <v>85</v>
      </c>
      <c r="W282" s="16" t="s">
        <v>85</v>
      </c>
      <c r="X282" s="16" t="s">
        <v>85</v>
      </c>
      <c r="Y282" s="16" t="s">
        <v>85</v>
      </c>
      <c r="Z282" s="16" t="s">
        <v>85</v>
      </c>
      <c r="AA282" s="16" t="s">
        <v>85</v>
      </c>
      <c r="AB282" s="16" t="s">
        <v>85</v>
      </c>
      <c r="AC282" s="16" t="s">
        <v>85</v>
      </c>
      <c r="AD282" s="16" t="s">
        <v>85</v>
      </c>
      <c r="AE282" s="16" t="s">
        <v>85</v>
      </c>
      <c r="AF282" s="16" t="s">
        <v>89</v>
      </c>
      <c r="AG282" s="16" t="s">
        <v>114</v>
      </c>
      <c r="AH282" s="16" t="s">
        <v>85</v>
      </c>
      <c r="AI282" s="16">
        <v>2.5</v>
      </c>
      <c r="AJ282" s="16" t="s">
        <v>85</v>
      </c>
      <c r="AK282" s="16" t="s">
        <v>85</v>
      </c>
      <c r="AL282" s="16" t="s">
        <v>85</v>
      </c>
      <c r="AM282" s="16" t="s">
        <v>85</v>
      </c>
      <c r="AN282" s="16" t="s">
        <v>85</v>
      </c>
      <c r="AO282" s="16" t="s">
        <v>85</v>
      </c>
      <c r="AP282" s="16" t="s">
        <v>85</v>
      </c>
      <c r="AQ282" s="16" t="s">
        <v>85</v>
      </c>
      <c r="AR282" s="16" t="s">
        <v>85</v>
      </c>
      <c r="AS282" s="16" t="s">
        <v>85</v>
      </c>
      <c r="AT282" s="16" t="s">
        <v>85</v>
      </c>
      <c r="AU282" s="16" t="s">
        <v>85</v>
      </c>
      <c r="AV282" s="16" t="s">
        <v>85</v>
      </c>
      <c r="AW282" s="16" t="s">
        <v>85</v>
      </c>
      <c r="AX282" s="16" t="s">
        <v>85</v>
      </c>
      <c r="AY282" s="16" t="s">
        <v>85</v>
      </c>
      <c r="AZ282" s="16" t="s">
        <v>85</v>
      </c>
      <c r="BA282" s="16" t="s">
        <v>85</v>
      </c>
      <c r="BB282" s="16" t="s">
        <v>85</v>
      </c>
      <c r="BC282" s="16" t="s">
        <v>85</v>
      </c>
      <c r="BD282" s="16" t="s">
        <v>85</v>
      </c>
      <c r="BE282" s="16" t="s">
        <v>85</v>
      </c>
      <c r="BF282" s="16" t="s">
        <v>85</v>
      </c>
      <c r="BG282" s="16" t="s">
        <v>85</v>
      </c>
      <c r="BH282" s="16" t="s">
        <v>85</v>
      </c>
      <c r="BI282" s="16" t="s">
        <v>85</v>
      </c>
      <c r="BJ282" s="16" t="s">
        <v>85</v>
      </c>
      <c r="BK282" s="10"/>
    </row>
    <row r="283">
      <c r="A283" s="21"/>
      <c r="B283" s="21"/>
      <c r="C283" s="21"/>
      <c r="D283" s="21"/>
      <c r="E283" s="32">
        <v>2.0</v>
      </c>
      <c r="F283" s="21"/>
      <c r="G283" s="19">
        <v>97.0</v>
      </c>
      <c r="H283" s="21"/>
      <c r="I283" s="21"/>
      <c r="J283" s="21"/>
      <c r="K283" s="21"/>
      <c r="L283" s="21"/>
      <c r="M283" s="21"/>
      <c r="N283" s="21"/>
      <c r="O283" s="21"/>
      <c r="P283" s="21"/>
      <c r="Q283" s="21"/>
      <c r="R283" s="21"/>
      <c r="S283" s="21"/>
      <c r="T283" s="19">
        <v>99.0</v>
      </c>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10"/>
    </row>
    <row r="284">
      <c r="A284" s="21"/>
      <c r="B284" s="21"/>
      <c r="C284" s="21"/>
      <c r="D284" s="21"/>
      <c r="E284" s="32">
        <v>3.0</v>
      </c>
      <c r="F284" s="21"/>
      <c r="G284" s="19">
        <v>107.0</v>
      </c>
      <c r="H284" s="21"/>
      <c r="I284" s="21"/>
      <c r="J284" s="21"/>
      <c r="K284" s="21"/>
      <c r="L284" s="21"/>
      <c r="M284" s="21"/>
      <c r="N284" s="21"/>
      <c r="O284" s="21"/>
      <c r="P284" s="21"/>
      <c r="Q284" s="21"/>
      <c r="R284" s="21"/>
      <c r="S284" s="21"/>
      <c r="T284" s="19">
        <v>108.0</v>
      </c>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10"/>
    </row>
    <row r="285">
      <c r="A285" s="21"/>
      <c r="B285" s="21"/>
      <c r="C285" s="21"/>
      <c r="D285" s="21"/>
      <c r="E285" s="32">
        <v>4.0</v>
      </c>
      <c r="F285" s="21"/>
      <c r="G285" s="19">
        <v>118.0</v>
      </c>
      <c r="H285" s="21"/>
      <c r="I285" s="21"/>
      <c r="J285" s="21"/>
      <c r="K285" s="21"/>
      <c r="L285" s="21"/>
      <c r="M285" s="21"/>
      <c r="N285" s="21"/>
      <c r="O285" s="21"/>
      <c r="P285" s="21"/>
      <c r="Q285" s="21"/>
      <c r="R285" s="21"/>
      <c r="S285" s="21"/>
      <c r="T285" s="19">
        <v>119.0</v>
      </c>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10"/>
    </row>
    <row r="286">
      <c r="A286" s="21"/>
      <c r="B286" s="21"/>
      <c r="C286" s="21"/>
      <c r="D286" s="21"/>
      <c r="E286" s="32">
        <v>5.0</v>
      </c>
      <c r="F286" s="21"/>
      <c r="G286" s="19">
        <v>129.0</v>
      </c>
      <c r="H286" s="21"/>
      <c r="I286" s="21"/>
      <c r="J286" s="21"/>
      <c r="K286" s="21"/>
      <c r="L286" s="21"/>
      <c r="M286" s="21"/>
      <c r="N286" s="21"/>
      <c r="O286" s="21"/>
      <c r="P286" s="21"/>
      <c r="Q286" s="21"/>
      <c r="R286" s="21"/>
      <c r="S286" s="21"/>
      <c r="T286" s="19">
        <v>131.0</v>
      </c>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10"/>
    </row>
    <row r="287">
      <c r="A287" s="21"/>
      <c r="B287" s="21"/>
      <c r="C287" s="21"/>
      <c r="D287" s="21"/>
      <c r="E287" s="32">
        <v>6.0</v>
      </c>
      <c r="F287" s="21"/>
      <c r="G287" s="19">
        <v>142.0</v>
      </c>
      <c r="H287" s="21"/>
      <c r="I287" s="21"/>
      <c r="J287" s="21"/>
      <c r="K287" s="21"/>
      <c r="L287" s="21"/>
      <c r="M287" s="21"/>
      <c r="N287" s="21"/>
      <c r="O287" s="21"/>
      <c r="P287" s="21"/>
      <c r="Q287" s="21"/>
      <c r="R287" s="21"/>
      <c r="S287" s="21"/>
      <c r="T287" s="19">
        <v>144.0</v>
      </c>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10"/>
    </row>
    <row r="288">
      <c r="A288" s="21"/>
      <c r="B288" s="21"/>
      <c r="C288" s="21"/>
      <c r="D288" s="21"/>
      <c r="E288" s="32">
        <v>7.0</v>
      </c>
      <c r="F288" s="21"/>
      <c r="G288" s="19">
        <v>156.0</v>
      </c>
      <c r="H288" s="21"/>
      <c r="I288" s="21"/>
      <c r="J288" s="21"/>
      <c r="K288" s="21"/>
      <c r="L288" s="21"/>
      <c r="M288" s="21"/>
      <c r="N288" s="21"/>
      <c r="O288" s="21"/>
      <c r="P288" s="21"/>
      <c r="Q288" s="21"/>
      <c r="R288" s="21"/>
      <c r="S288" s="21"/>
      <c r="T288" s="19">
        <v>158.0</v>
      </c>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10"/>
    </row>
    <row r="289">
      <c r="A289" s="21"/>
      <c r="B289" s="21"/>
      <c r="C289" s="21"/>
      <c r="D289" s="21"/>
      <c r="E289" s="32">
        <v>8.0</v>
      </c>
      <c r="F289" s="21"/>
      <c r="G289" s="19">
        <v>171.0</v>
      </c>
      <c r="H289" s="21"/>
      <c r="I289" s="21"/>
      <c r="J289" s="21"/>
      <c r="K289" s="21"/>
      <c r="L289" s="21"/>
      <c r="M289" s="21"/>
      <c r="N289" s="21"/>
      <c r="O289" s="21"/>
      <c r="P289" s="21"/>
      <c r="Q289" s="21"/>
      <c r="R289" s="21"/>
      <c r="S289" s="21"/>
      <c r="T289" s="19">
        <v>173.0</v>
      </c>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10"/>
    </row>
    <row r="290">
      <c r="A290" s="21"/>
      <c r="B290" s="21"/>
      <c r="C290" s="21"/>
      <c r="D290" s="21"/>
      <c r="E290" s="32">
        <v>9.0</v>
      </c>
      <c r="F290" s="21"/>
      <c r="G290" s="19">
        <v>188.0</v>
      </c>
      <c r="H290" s="21"/>
      <c r="I290" s="21"/>
      <c r="J290" s="21"/>
      <c r="K290" s="21"/>
      <c r="L290" s="21"/>
      <c r="M290" s="21"/>
      <c r="N290" s="21"/>
      <c r="O290" s="21"/>
      <c r="P290" s="21"/>
      <c r="Q290" s="21"/>
      <c r="R290" s="21"/>
      <c r="S290" s="21"/>
      <c r="T290" s="19">
        <v>190.0</v>
      </c>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10"/>
    </row>
    <row r="291">
      <c r="A291" s="21"/>
      <c r="B291" s="21"/>
      <c r="C291" s="21"/>
      <c r="D291" s="21"/>
      <c r="E291" s="32">
        <v>10.0</v>
      </c>
      <c r="F291" s="21"/>
      <c r="G291" s="19">
        <v>207.0</v>
      </c>
      <c r="H291" s="21"/>
      <c r="I291" s="21"/>
      <c r="J291" s="21"/>
      <c r="K291" s="21"/>
      <c r="L291" s="21"/>
      <c r="M291" s="21"/>
      <c r="N291" s="21"/>
      <c r="O291" s="21"/>
      <c r="P291" s="21"/>
      <c r="Q291" s="21"/>
      <c r="R291" s="21"/>
      <c r="S291" s="21"/>
      <c r="T291" s="19">
        <v>209.0</v>
      </c>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10"/>
    </row>
    <row r="292">
      <c r="A292" s="21"/>
      <c r="B292" s="21"/>
      <c r="C292" s="21"/>
      <c r="D292" s="21"/>
      <c r="E292" s="32">
        <v>11.0</v>
      </c>
      <c r="F292" s="21"/>
      <c r="G292" s="19">
        <v>227.0</v>
      </c>
      <c r="H292" s="21"/>
      <c r="I292" s="21"/>
      <c r="J292" s="21"/>
      <c r="K292" s="21"/>
      <c r="L292" s="21"/>
      <c r="M292" s="21"/>
      <c r="N292" s="21"/>
      <c r="O292" s="21"/>
      <c r="P292" s="21"/>
      <c r="Q292" s="21"/>
      <c r="R292" s="21"/>
      <c r="S292" s="21"/>
      <c r="T292" s="19">
        <v>230.0</v>
      </c>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10"/>
    </row>
    <row r="293">
      <c r="A293" s="21"/>
      <c r="B293" s="21"/>
      <c r="C293" s="21"/>
      <c r="D293" s="21"/>
      <c r="E293" s="32">
        <v>12.0</v>
      </c>
      <c r="F293" s="21"/>
      <c r="G293" s="19">
        <v>250.0</v>
      </c>
      <c r="H293" s="21"/>
      <c r="I293" s="21"/>
      <c r="J293" s="21"/>
      <c r="K293" s="21"/>
      <c r="L293" s="21"/>
      <c r="M293" s="21"/>
      <c r="N293" s="21"/>
      <c r="O293" s="21"/>
      <c r="P293" s="21"/>
      <c r="Q293" s="21"/>
      <c r="R293" s="21"/>
      <c r="S293" s="21"/>
      <c r="T293" s="19">
        <v>252.0</v>
      </c>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10"/>
    </row>
    <row r="294">
      <c r="A294" s="22"/>
      <c r="B294" s="22"/>
      <c r="C294" s="22"/>
      <c r="D294" s="22"/>
      <c r="E294" s="32">
        <v>13.0</v>
      </c>
      <c r="F294" s="22"/>
      <c r="G294" s="19">
        <v>275.0</v>
      </c>
      <c r="H294" s="22"/>
      <c r="I294" s="22"/>
      <c r="J294" s="22"/>
      <c r="K294" s="22"/>
      <c r="L294" s="22"/>
      <c r="M294" s="22"/>
      <c r="N294" s="22"/>
      <c r="O294" s="22"/>
      <c r="P294" s="22"/>
      <c r="Q294" s="22"/>
      <c r="R294" s="22"/>
      <c r="S294" s="22"/>
      <c r="T294" s="19">
        <v>278.0</v>
      </c>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10"/>
    </row>
    <row r="295">
      <c r="A295" s="16" t="s">
        <v>153</v>
      </c>
      <c r="B295" s="27" t="s">
        <v>101</v>
      </c>
      <c r="C295" s="16" t="s">
        <v>117</v>
      </c>
      <c r="D295" s="16">
        <v>5.0</v>
      </c>
      <c r="E295" s="18">
        <v>3.0</v>
      </c>
      <c r="F295" s="18" t="s">
        <v>154</v>
      </c>
      <c r="G295" s="16" t="s">
        <v>85</v>
      </c>
      <c r="H295" s="16" t="s">
        <v>85</v>
      </c>
      <c r="I295" s="16" t="s">
        <v>85</v>
      </c>
      <c r="J295" s="16" t="s">
        <v>85</v>
      </c>
      <c r="K295" s="16" t="s">
        <v>85</v>
      </c>
      <c r="L295" s="16" t="s">
        <v>85</v>
      </c>
      <c r="M295" s="16" t="s">
        <v>85</v>
      </c>
      <c r="N295" s="16" t="s">
        <v>85</v>
      </c>
      <c r="O295" s="16" t="s">
        <v>85</v>
      </c>
      <c r="P295" s="16" t="s">
        <v>85</v>
      </c>
      <c r="Q295" s="18" t="s">
        <v>155</v>
      </c>
      <c r="R295" s="16" t="s">
        <v>85</v>
      </c>
      <c r="S295" s="16" t="s">
        <v>85</v>
      </c>
      <c r="T295" s="18">
        <v>825.0</v>
      </c>
      <c r="U295" s="16" t="s">
        <v>85</v>
      </c>
      <c r="V295" s="16" t="s">
        <v>85</v>
      </c>
      <c r="W295" s="16" t="s">
        <v>85</v>
      </c>
      <c r="X295" s="16" t="s">
        <v>85</v>
      </c>
      <c r="Y295" s="16" t="s">
        <v>85</v>
      </c>
      <c r="Z295" s="16" t="s">
        <v>85</v>
      </c>
      <c r="AA295" s="16" t="s">
        <v>85</v>
      </c>
      <c r="AB295" s="16" t="s">
        <v>85</v>
      </c>
      <c r="AC295" s="16" t="s">
        <v>85</v>
      </c>
      <c r="AD295" s="16" t="s">
        <v>85</v>
      </c>
      <c r="AE295" s="16" t="s">
        <v>156</v>
      </c>
      <c r="AF295" s="16" t="s">
        <v>89</v>
      </c>
      <c r="AG295" s="16" t="s">
        <v>85</v>
      </c>
      <c r="AH295" s="16" t="s">
        <v>85</v>
      </c>
      <c r="AI295" s="16">
        <v>6.0</v>
      </c>
      <c r="AJ295" s="16" t="s">
        <v>85</v>
      </c>
      <c r="AK295" s="16" t="s">
        <v>85</v>
      </c>
      <c r="AL295" s="16" t="s">
        <v>138</v>
      </c>
      <c r="AM295" s="16" t="s">
        <v>85</v>
      </c>
      <c r="AN295" s="16" t="s">
        <v>85</v>
      </c>
      <c r="AO295" s="16" t="s">
        <v>85</v>
      </c>
      <c r="AP295" s="16" t="s">
        <v>85</v>
      </c>
      <c r="AQ295" s="16" t="s">
        <v>85</v>
      </c>
      <c r="AR295" s="16" t="s">
        <v>85</v>
      </c>
      <c r="AS295" s="16" t="s">
        <v>85</v>
      </c>
      <c r="AT295" s="16" t="s">
        <v>85</v>
      </c>
      <c r="AU295" s="16" t="s">
        <v>85</v>
      </c>
      <c r="AV295" s="16" t="s">
        <v>85</v>
      </c>
      <c r="AW295" s="16" t="s">
        <v>85</v>
      </c>
      <c r="AX295" s="16" t="s">
        <v>85</v>
      </c>
      <c r="AY295" s="16" t="s">
        <v>85</v>
      </c>
      <c r="AZ295" s="16" t="s">
        <v>85</v>
      </c>
      <c r="BA295" s="16" t="s">
        <v>85</v>
      </c>
      <c r="BB295" s="16" t="s">
        <v>85</v>
      </c>
      <c r="BC295" s="16" t="s">
        <v>85</v>
      </c>
      <c r="BD295" s="16" t="s">
        <v>85</v>
      </c>
      <c r="BE295" s="16" t="s">
        <v>85</v>
      </c>
      <c r="BF295" s="16" t="s">
        <v>85</v>
      </c>
      <c r="BG295" s="16" t="s">
        <v>85</v>
      </c>
      <c r="BH295" s="16" t="s">
        <v>85</v>
      </c>
      <c r="BI295" s="16" t="s">
        <v>85</v>
      </c>
      <c r="BJ295" s="16" t="s">
        <v>85</v>
      </c>
      <c r="BK295" s="24"/>
    </row>
    <row r="296">
      <c r="A296" s="21"/>
      <c r="B296" s="21"/>
      <c r="C296" s="21"/>
      <c r="D296" s="21"/>
      <c r="E296" s="18">
        <v>4.0</v>
      </c>
      <c r="F296" s="18" t="s">
        <v>157</v>
      </c>
      <c r="G296" s="21"/>
      <c r="H296" s="21"/>
      <c r="I296" s="21"/>
      <c r="J296" s="21"/>
      <c r="K296" s="21"/>
      <c r="L296" s="21"/>
      <c r="M296" s="21"/>
      <c r="N296" s="21"/>
      <c r="O296" s="21"/>
      <c r="P296" s="21"/>
      <c r="Q296" s="18" t="s">
        <v>158</v>
      </c>
      <c r="R296" s="21"/>
      <c r="S296" s="21"/>
      <c r="T296" s="19">
        <v>907.0</v>
      </c>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4"/>
    </row>
    <row r="297">
      <c r="A297" s="21"/>
      <c r="B297" s="21"/>
      <c r="C297" s="21"/>
      <c r="D297" s="21"/>
      <c r="E297" s="18">
        <v>5.0</v>
      </c>
      <c r="F297" s="18" t="s">
        <v>159</v>
      </c>
      <c r="G297" s="21"/>
      <c r="H297" s="21"/>
      <c r="I297" s="21"/>
      <c r="J297" s="21"/>
      <c r="K297" s="21"/>
      <c r="L297" s="21"/>
      <c r="M297" s="21"/>
      <c r="N297" s="21"/>
      <c r="O297" s="21"/>
      <c r="P297" s="21"/>
      <c r="Q297" s="18" t="s">
        <v>160</v>
      </c>
      <c r="R297" s="21"/>
      <c r="S297" s="21"/>
      <c r="T297" s="19">
        <v>998.0</v>
      </c>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4"/>
    </row>
    <row r="298">
      <c r="A298" s="21"/>
      <c r="B298" s="21"/>
      <c r="C298" s="21"/>
      <c r="D298" s="21"/>
      <c r="E298" s="18">
        <v>6.0</v>
      </c>
      <c r="F298" s="18" t="s">
        <v>161</v>
      </c>
      <c r="G298" s="21"/>
      <c r="H298" s="21"/>
      <c r="I298" s="21"/>
      <c r="J298" s="21"/>
      <c r="K298" s="21"/>
      <c r="L298" s="21"/>
      <c r="M298" s="21"/>
      <c r="N298" s="21"/>
      <c r="O298" s="21"/>
      <c r="P298" s="21"/>
      <c r="Q298" s="18" t="s">
        <v>162</v>
      </c>
      <c r="R298" s="21"/>
      <c r="S298" s="21"/>
      <c r="T298" s="19">
        <v>1097.0</v>
      </c>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4"/>
    </row>
    <row r="299">
      <c r="A299" s="21"/>
      <c r="B299" s="21"/>
      <c r="C299" s="21"/>
      <c r="D299" s="21"/>
      <c r="E299" s="18">
        <v>7.0</v>
      </c>
      <c r="F299" s="18" t="s">
        <v>163</v>
      </c>
      <c r="G299" s="21"/>
      <c r="H299" s="21"/>
      <c r="I299" s="21"/>
      <c r="J299" s="21"/>
      <c r="K299" s="21"/>
      <c r="L299" s="21"/>
      <c r="M299" s="21"/>
      <c r="N299" s="21"/>
      <c r="O299" s="21"/>
      <c r="P299" s="21"/>
      <c r="Q299" s="18" t="s">
        <v>164</v>
      </c>
      <c r="R299" s="21"/>
      <c r="S299" s="21"/>
      <c r="T299" s="19">
        <v>1204.0</v>
      </c>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4"/>
    </row>
    <row r="300">
      <c r="A300" s="21"/>
      <c r="B300" s="21"/>
      <c r="C300" s="21"/>
      <c r="D300" s="21"/>
      <c r="E300" s="18">
        <v>8.0</v>
      </c>
      <c r="F300" s="18" t="s">
        <v>165</v>
      </c>
      <c r="G300" s="21"/>
      <c r="H300" s="21"/>
      <c r="I300" s="21"/>
      <c r="J300" s="21"/>
      <c r="K300" s="21"/>
      <c r="L300" s="21"/>
      <c r="M300" s="21"/>
      <c r="N300" s="21"/>
      <c r="O300" s="21"/>
      <c r="P300" s="21"/>
      <c r="Q300" s="18" t="s">
        <v>166</v>
      </c>
      <c r="R300" s="21"/>
      <c r="S300" s="21"/>
      <c r="T300" s="19">
        <v>1320.0</v>
      </c>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4"/>
    </row>
    <row r="301">
      <c r="A301" s="21"/>
      <c r="B301" s="21"/>
      <c r="C301" s="21"/>
      <c r="D301" s="21"/>
      <c r="E301" s="18">
        <v>9.0</v>
      </c>
      <c r="F301" s="18" t="s">
        <v>167</v>
      </c>
      <c r="G301" s="21"/>
      <c r="H301" s="21"/>
      <c r="I301" s="21"/>
      <c r="J301" s="21"/>
      <c r="K301" s="21"/>
      <c r="L301" s="21"/>
      <c r="M301" s="21"/>
      <c r="N301" s="21"/>
      <c r="O301" s="21"/>
      <c r="P301" s="21"/>
      <c r="Q301" s="18" t="s">
        <v>168</v>
      </c>
      <c r="R301" s="21"/>
      <c r="S301" s="21"/>
      <c r="T301" s="19">
        <v>1452.0</v>
      </c>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4"/>
    </row>
    <row r="302">
      <c r="A302" s="21"/>
      <c r="B302" s="21"/>
      <c r="C302" s="21"/>
      <c r="D302" s="21"/>
      <c r="E302" s="18">
        <v>10.0</v>
      </c>
      <c r="F302" s="18" t="s">
        <v>169</v>
      </c>
      <c r="G302" s="21"/>
      <c r="H302" s="21"/>
      <c r="I302" s="21"/>
      <c r="J302" s="21"/>
      <c r="K302" s="21"/>
      <c r="L302" s="21"/>
      <c r="M302" s="21"/>
      <c r="N302" s="21"/>
      <c r="O302" s="21"/>
      <c r="P302" s="21"/>
      <c r="Q302" s="18" t="s">
        <v>170</v>
      </c>
      <c r="R302" s="21"/>
      <c r="S302" s="21"/>
      <c r="T302" s="19">
        <v>1592.0</v>
      </c>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4"/>
    </row>
    <row r="303">
      <c r="A303" s="21"/>
      <c r="B303" s="21"/>
      <c r="C303" s="21"/>
      <c r="D303" s="21"/>
      <c r="E303" s="18">
        <v>11.0</v>
      </c>
      <c r="F303" s="18" t="s">
        <v>171</v>
      </c>
      <c r="G303" s="21"/>
      <c r="H303" s="21"/>
      <c r="I303" s="21"/>
      <c r="J303" s="21"/>
      <c r="K303" s="21"/>
      <c r="L303" s="21"/>
      <c r="M303" s="21"/>
      <c r="N303" s="21"/>
      <c r="O303" s="21"/>
      <c r="P303" s="21"/>
      <c r="Q303" s="18" t="s">
        <v>172</v>
      </c>
      <c r="R303" s="21"/>
      <c r="S303" s="21"/>
      <c r="T303" s="19">
        <v>1749.0</v>
      </c>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4"/>
    </row>
    <row r="304">
      <c r="A304" s="21"/>
      <c r="B304" s="21"/>
      <c r="C304" s="21"/>
      <c r="D304" s="21"/>
      <c r="E304" s="18">
        <v>12.0</v>
      </c>
      <c r="F304" s="18" t="s">
        <v>173</v>
      </c>
      <c r="G304" s="21"/>
      <c r="H304" s="21"/>
      <c r="I304" s="21"/>
      <c r="J304" s="21"/>
      <c r="K304" s="21"/>
      <c r="L304" s="21"/>
      <c r="M304" s="21"/>
      <c r="N304" s="21"/>
      <c r="O304" s="21"/>
      <c r="P304" s="21"/>
      <c r="Q304" s="18" t="s">
        <v>174</v>
      </c>
      <c r="R304" s="21"/>
      <c r="S304" s="21"/>
      <c r="T304" s="19">
        <v>1922.0</v>
      </c>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4"/>
    </row>
    <row r="305">
      <c r="A305" s="22"/>
      <c r="B305" s="22"/>
      <c r="C305" s="22"/>
      <c r="D305" s="22"/>
      <c r="E305" s="18">
        <v>13.0</v>
      </c>
      <c r="F305" s="18" t="s">
        <v>175</v>
      </c>
      <c r="G305" s="22"/>
      <c r="H305" s="22"/>
      <c r="I305" s="22"/>
      <c r="J305" s="22"/>
      <c r="K305" s="22"/>
      <c r="L305" s="22"/>
      <c r="M305" s="22"/>
      <c r="N305" s="22"/>
      <c r="O305" s="22"/>
      <c r="P305" s="22"/>
      <c r="Q305" s="18" t="s">
        <v>176</v>
      </c>
      <c r="R305" s="22"/>
      <c r="S305" s="22"/>
      <c r="T305" s="19">
        <v>2112.0</v>
      </c>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4"/>
    </row>
    <row r="306">
      <c r="A306" s="16" t="s">
        <v>177</v>
      </c>
      <c r="B306" s="34" t="s">
        <v>101</v>
      </c>
      <c r="C306" s="16" t="s">
        <v>87</v>
      </c>
      <c r="D306" s="16">
        <v>5.0</v>
      </c>
      <c r="E306" s="32">
        <v>3.0</v>
      </c>
      <c r="F306" s="16" t="s">
        <v>85</v>
      </c>
      <c r="G306" s="18">
        <v>133.0</v>
      </c>
      <c r="H306" s="16" t="s">
        <v>85</v>
      </c>
      <c r="I306" s="16" t="s">
        <v>85</v>
      </c>
      <c r="J306" s="16" t="s">
        <v>85</v>
      </c>
      <c r="K306" s="16" t="s">
        <v>85</v>
      </c>
      <c r="L306" s="16" t="s">
        <v>85</v>
      </c>
      <c r="M306" s="16" t="s">
        <v>85</v>
      </c>
      <c r="N306" s="16" t="s">
        <v>85</v>
      </c>
      <c r="O306" s="16" t="s">
        <v>85</v>
      </c>
      <c r="P306" s="16" t="s">
        <v>85</v>
      </c>
      <c r="Q306" s="19">
        <v>95.0</v>
      </c>
      <c r="R306" s="16" t="s">
        <v>85</v>
      </c>
      <c r="S306" s="16" t="s">
        <v>85</v>
      </c>
      <c r="T306" s="18">
        <v>340.0</v>
      </c>
      <c r="U306" s="16" t="s">
        <v>85</v>
      </c>
      <c r="V306" s="16" t="s">
        <v>85</v>
      </c>
      <c r="W306" s="16" t="s">
        <v>85</v>
      </c>
      <c r="X306" s="16" t="s">
        <v>85</v>
      </c>
      <c r="Y306" s="16" t="s">
        <v>85</v>
      </c>
      <c r="Z306" s="16" t="s">
        <v>85</v>
      </c>
      <c r="AA306" s="16" t="s">
        <v>85</v>
      </c>
      <c r="AB306" s="16" t="s">
        <v>85</v>
      </c>
      <c r="AC306" s="16" t="s">
        <v>85</v>
      </c>
      <c r="AD306" s="16" t="s">
        <v>85</v>
      </c>
      <c r="AE306" s="16" t="s">
        <v>140</v>
      </c>
      <c r="AF306" s="16" t="s">
        <v>89</v>
      </c>
      <c r="AG306" s="16" t="s">
        <v>95</v>
      </c>
      <c r="AH306" s="16" t="s">
        <v>85</v>
      </c>
      <c r="AI306" s="16">
        <v>5.5</v>
      </c>
      <c r="AJ306" s="16" t="s">
        <v>85</v>
      </c>
      <c r="AK306" s="16" t="s">
        <v>85</v>
      </c>
      <c r="AL306" s="16" t="s">
        <v>85</v>
      </c>
      <c r="AM306" s="16" t="s">
        <v>85</v>
      </c>
      <c r="AN306" s="16" t="s">
        <v>85</v>
      </c>
      <c r="AO306" s="16" t="s">
        <v>85</v>
      </c>
      <c r="AP306" s="16" t="s">
        <v>85</v>
      </c>
      <c r="AQ306" s="16" t="s">
        <v>85</v>
      </c>
      <c r="AR306" s="16" t="s">
        <v>85</v>
      </c>
      <c r="AS306" s="16" t="s">
        <v>85</v>
      </c>
      <c r="AT306" s="16" t="s">
        <v>85</v>
      </c>
      <c r="AU306" s="16" t="s">
        <v>85</v>
      </c>
      <c r="AV306" s="16" t="s">
        <v>85</v>
      </c>
      <c r="AW306" s="16" t="s">
        <v>85</v>
      </c>
      <c r="AX306" s="16" t="s">
        <v>85</v>
      </c>
      <c r="AY306" s="16" t="s">
        <v>85</v>
      </c>
      <c r="AZ306" s="16" t="s">
        <v>85</v>
      </c>
      <c r="BA306" s="16" t="s">
        <v>85</v>
      </c>
      <c r="BB306" s="16" t="s">
        <v>85</v>
      </c>
      <c r="BC306" s="16" t="s">
        <v>85</v>
      </c>
      <c r="BD306" s="16" t="s">
        <v>85</v>
      </c>
      <c r="BE306" s="16" t="s">
        <v>85</v>
      </c>
      <c r="BF306" s="16" t="s">
        <v>85</v>
      </c>
      <c r="BG306" s="16" t="s">
        <v>85</v>
      </c>
      <c r="BH306" s="16" t="s">
        <v>85</v>
      </c>
      <c r="BI306" s="16" t="s">
        <v>85</v>
      </c>
      <c r="BJ306" s="16" t="s">
        <v>85</v>
      </c>
      <c r="BK306" s="10"/>
    </row>
    <row r="307">
      <c r="A307" s="21"/>
      <c r="B307" s="21"/>
      <c r="C307" s="21"/>
      <c r="D307" s="21"/>
      <c r="E307" s="32">
        <v>4.0</v>
      </c>
      <c r="F307" s="21"/>
      <c r="G307" s="19">
        <v>146.0</v>
      </c>
      <c r="H307" s="21"/>
      <c r="I307" s="21"/>
      <c r="J307" s="21"/>
      <c r="K307" s="21"/>
      <c r="L307" s="21"/>
      <c r="M307" s="21"/>
      <c r="N307" s="21"/>
      <c r="O307" s="21"/>
      <c r="P307" s="21"/>
      <c r="Q307" s="19">
        <v>104.0</v>
      </c>
      <c r="R307" s="21"/>
      <c r="S307" s="21"/>
      <c r="T307" s="18">
        <v>374.0</v>
      </c>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10"/>
    </row>
    <row r="308">
      <c r="A308" s="21"/>
      <c r="B308" s="21"/>
      <c r="C308" s="21"/>
      <c r="D308" s="21"/>
      <c r="E308" s="32">
        <v>5.0</v>
      </c>
      <c r="F308" s="21"/>
      <c r="G308" s="19">
        <v>160.0</v>
      </c>
      <c r="H308" s="21"/>
      <c r="I308" s="21"/>
      <c r="J308" s="21"/>
      <c r="K308" s="21"/>
      <c r="L308" s="21"/>
      <c r="M308" s="21"/>
      <c r="N308" s="21"/>
      <c r="O308" s="21"/>
      <c r="P308" s="21"/>
      <c r="Q308" s="19">
        <v>114.0</v>
      </c>
      <c r="R308" s="21"/>
      <c r="S308" s="21"/>
      <c r="T308" s="18">
        <v>411.0</v>
      </c>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10"/>
    </row>
    <row r="309">
      <c r="A309" s="21"/>
      <c r="B309" s="21"/>
      <c r="C309" s="21"/>
      <c r="D309" s="21"/>
      <c r="E309" s="32">
        <v>6.0</v>
      </c>
      <c r="F309" s="21"/>
      <c r="G309" s="19">
        <v>176.0</v>
      </c>
      <c r="H309" s="21"/>
      <c r="I309" s="21"/>
      <c r="J309" s="21"/>
      <c r="K309" s="21"/>
      <c r="L309" s="21"/>
      <c r="M309" s="21"/>
      <c r="N309" s="21"/>
      <c r="O309" s="21"/>
      <c r="P309" s="21"/>
      <c r="Q309" s="19">
        <v>125.0</v>
      </c>
      <c r="R309" s="21"/>
      <c r="S309" s="21"/>
      <c r="T309" s="18">
        <v>452.0</v>
      </c>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10"/>
    </row>
    <row r="310">
      <c r="A310" s="21"/>
      <c r="B310" s="21"/>
      <c r="C310" s="21"/>
      <c r="D310" s="21"/>
      <c r="E310" s="32">
        <v>7.0</v>
      </c>
      <c r="F310" s="21"/>
      <c r="G310" s="19">
        <v>194.0</v>
      </c>
      <c r="H310" s="21"/>
      <c r="I310" s="21"/>
      <c r="J310" s="21"/>
      <c r="K310" s="21"/>
      <c r="L310" s="21"/>
      <c r="M310" s="21"/>
      <c r="N310" s="21"/>
      <c r="O310" s="21"/>
      <c r="P310" s="21"/>
      <c r="Q310" s="19">
        <v>138.0</v>
      </c>
      <c r="R310" s="21"/>
      <c r="S310" s="21"/>
      <c r="T310" s="18">
        <v>496.0</v>
      </c>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10"/>
    </row>
    <row r="311">
      <c r="A311" s="21"/>
      <c r="B311" s="21"/>
      <c r="C311" s="21"/>
      <c r="D311" s="21"/>
      <c r="E311" s="32">
        <v>8.0</v>
      </c>
      <c r="F311" s="21"/>
      <c r="G311" s="19">
        <v>212.0</v>
      </c>
      <c r="H311" s="21"/>
      <c r="I311" s="21"/>
      <c r="J311" s="21"/>
      <c r="K311" s="21"/>
      <c r="L311" s="21"/>
      <c r="M311" s="21"/>
      <c r="N311" s="21"/>
      <c r="O311" s="21"/>
      <c r="P311" s="21"/>
      <c r="Q311" s="19">
        <v>151.0</v>
      </c>
      <c r="R311" s="21"/>
      <c r="S311" s="21"/>
      <c r="T311" s="18">
        <v>544.0</v>
      </c>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10"/>
    </row>
    <row r="312">
      <c r="A312" s="21"/>
      <c r="B312" s="21"/>
      <c r="C312" s="21"/>
      <c r="D312" s="21"/>
      <c r="E312" s="32">
        <v>9.0</v>
      </c>
      <c r="F312" s="21"/>
      <c r="G312" s="19">
        <v>234.0</v>
      </c>
      <c r="H312" s="21"/>
      <c r="I312" s="21"/>
      <c r="J312" s="21"/>
      <c r="K312" s="21"/>
      <c r="L312" s="21"/>
      <c r="M312" s="21"/>
      <c r="N312" s="21"/>
      <c r="O312" s="21"/>
      <c r="P312" s="21"/>
      <c r="Q312" s="19">
        <v>167.0</v>
      </c>
      <c r="R312" s="21"/>
      <c r="S312" s="21"/>
      <c r="T312" s="18">
        <v>598.0</v>
      </c>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10"/>
    </row>
    <row r="313">
      <c r="A313" s="21"/>
      <c r="B313" s="21"/>
      <c r="C313" s="21"/>
      <c r="D313" s="21"/>
      <c r="E313" s="32">
        <v>10.0</v>
      </c>
      <c r="F313" s="21"/>
      <c r="G313" s="19">
        <v>256.0</v>
      </c>
      <c r="H313" s="21"/>
      <c r="I313" s="21"/>
      <c r="J313" s="21"/>
      <c r="K313" s="21"/>
      <c r="L313" s="21"/>
      <c r="M313" s="21"/>
      <c r="N313" s="21"/>
      <c r="O313" s="21"/>
      <c r="P313" s="21"/>
      <c r="Q313" s="19">
        <v>182.0</v>
      </c>
      <c r="R313" s="21"/>
      <c r="S313" s="21"/>
      <c r="T313" s="18">
        <v>656.0</v>
      </c>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10"/>
    </row>
    <row r="314">
      <c r="A314" s="21"/>
      <c r="B314" s="21"/>
      <c r="C314" s="21"/>
      <c r="D314" s="21"/>
      <c r="E314" s="32">
        <v>11.0</v>
      </c>
      <c r="F314" s="21"/>
      <c r="G314" s="19">
        <v>281.0</v>
      </c>
      <c r="H314" s="21"/>
      <c r="I314" s="21"/>
      <c r="J314" s="21"/>
      <c r="K314" s="21"/>
      <c r="L314" s="21"/>
      <c r="M314" s="21"/>
      <c r="N314" s="21"/>
      <c r="O314" s="21"/>
      <c r="P314" s="21"/>
      <c r="Q314" s="19">
        <v>200.0</v>
      </c>
      <c r="R314" s="21"/>
      <c r="S314" s="21"/>
      <c r="T314" s="18">
        <v>720.0</v>
      </c>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10"/>
    </row>
    <row r="315">
      <c r="A315" s="21"/>
      <c r="B315" s="21"/>
      <c r="C315" s="21"/>
      <c r="D315" s="21"/>
      <c r="E315" s="32">
        <v>12.0</v>
      </c>
      <c r="F315" s="21"/>
      <c r="G315" s="19">
        <v>309.0</v>
      </c>
      <c r="H315" s="21"/>
      <c r="I315" s="21"/>
      <c r="J315" s="21"/>
      <c r="K315" s="21"/>
      <c r="L315" s="21"/>
      <c r="M315" s="21"/>
      <c r="N315" s="21"/>
      <c r="O315" s="21"/>
      <c r="P315" s="21"/>
      <c r="Q315" s="19">
        <v>220.0</v>
      </c>
      <c r="R315" s="21"/>
      <c r="S315" s="21"/>
      <c r="T315" s="18">
        <v>792.0</v>
      </c>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10"/>
    </row>
    <row r="316">
      <c r="A316" s="22"/>
      <c r="B316" s="22"/>
      <c r="C316" s="22"/>
      <c r="D316" s="22"/>
      <c r="E316" s="32">
        <v>13.0</v>
      </c>
      <c r="F316" s="22"/>
      <c r="G316" s="19">
        <v>340.0</v>
      </c>
      <c r="H316" s="22"/>
      <c r="I316" s="22"/>
      <c r="J316" s="22"/>
      <c r="K316" s="22"/>
      <c r="L316" s="22"/>
      <c r="M316" s="22"/>
      <c r="N316" s="22"/>
      <c r="O316" s="22"/>
      <c r="P316" s="22"/>
      <c r="Q316" s="19">
        <v>242.0</v>
      </c>
      <c r="R316" s="22"/>
      <c r="S316" s="22"/>
      <c r="T316" s="18">
        <v>870.0</v>
      </c>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10"/>
    </row>
    <row r="317">
      <c r="A317" s="16" t="s">
        <v>178</v>
      </c>
      <c r="B317" s="30" t="s">
        <v>131</v>
      </c>
      <c r="C317" s="16" t="s">
        <v>87</v>
      </c>
      <c r="D317" s="16">
        <v>6.0</v>
      </c>
      <c r="E317" s="18">
        <v>6.0</v>
      </c>
      <c r="F317" s="18">
        <v>167.0</v>
      </c>
      <c r="G317" s="16" t="s">
        <v>85</v>
      </c>
      <c r="H317" s="16" t="s">
        <v>85</v>
      </c>
      <c r="I317" s="16" t="s">
        <v>85</v>
      </c>
      <c r="J317" s="16" t="s">
        <v>85</v>
      </c>
      <c r="K317" s="16" t="s">
        <v>85</v>
      </c>
      <c r="L317" s="18">
        <v>334.0</v>
      </c>
      <c r="M317" s="16" t="s">
        <v>85</v>
      </c>
      <c r="N317" s="16" t="s">
        <v>85</v>
      </c>
      <c r="O317" s="18">
        <v>668.0</v>
      </c>
      <c r="P317" s="16" t="s">
        <v>85</v>
      </c>
      <c r="Q317" s="19">
        <v>111.0</v>
      </c>
      <c r="R317" s="16" t="s">
        <v>85</v>
      </c>
      <c r="S317" s="16" t="s">
        <v>85</v>
      </c>
      <c r="T317" s="18">
        <v>2100.0</v>
      </c>
      <c r="U317" s="16" t="s">
        <v>85</v>
      </c>
      <c r="V317" s="16" t="s">
        <v>85</v>
      </c>
      <c r="W317" s="16" t="s">
        <v>85</v>
      </c>
      <c r="X317" s="16" t="s">
        <v>85</v>
      </c>
      <c r="Y317" s="16" t="s">
        <v>85</v>
      </c>
      <c r="Z317" s="16" t="s">
        <v>85</v>
      </c>
      <c r="AA317" s="16" t="s">
        <v>85</v>
      </c>
      <c r="AB317" s="16" t="s">
        <v>85</v>
      </c>
      <c r="AC317" s="16" t="s">
        <v>85</v>
      </c>
      <c r="AD317" s="16" t="s">
        <v>85</v>
      </c>
      <c r="AE317" s="16" t="s">
        <v>108</v>
      </c>
      <c r="AF317" s="16" t="s">
        <v>98</v>
      </c>
      <c r="AG317" s="16" t="s">
        <v>95</v>
      </c>
      <c r="AH317" s="16" t="s">
        <v>85</v>
      </c>
      <c r="AI317" s="16" t="s">
        <v>104</v>
      </c>
      <c r="AJ317" s="16" t="s">
        <v>85</v>
      </c>
      <c r="AK317" s="16" t="s">
        <v>85</v>
      </c>
      <c r="AL317" s="16" t="s">
        <v>85</v>
      </c>
      <c r="AM317" s="16" t="s">
        <v>85</v>
      </c>
      <c r="AN317" s="16" t="s">
        <v>85</v>
      </c>
      <c r="AO317" s="16" t="s">
        <v>85</v>
      </c>
      <c r="AP317" s="16" t="s">
        <v>85</v>
      </c>
      <c r="AQ317" s="16" t="s">
        <v>85</v>
      </c>
      <c r="AR317" s="16" t="s">
        <v>85</v>
      </c>
      <c r="AS317" s="16" t="s">
        <v>85</v>
      </c>
      <c r="AT317" s="16" t="s">
        <v>85</v>
      </c>
      <c r="AU317" s="16" t="s">
        <v>85</v>
      </c>
      <c r="AV317" s="16" t="s">
        <v>85</v>
      </c>
      <c r="AW317" s="16" t="s">
        <v>85</v>
      </c>
      <c r="AX317" s="16" t="s">
        <v>85</v>
      </c>
      <c r="AY317" s="16" t="s">
        <v>85</v>
      </c>
      <c r="AZ317" s="16" t="s">
        <v>85</v>
      </c>
      <c r="BA317" s="16" t="s">
        <v>85</v>
      </c>
      <c r="BB317" s="16" t="s">
        <v>85</v>
      </c>
      <c r="BC317" s="16" t="s">
        <v>85</v>
      </c>
      <c r="BD317" s="16" t="s">
        <v>85</v>
      </c>
      <c r="BE317" s="16" t="s">
        <v>85</v>
      </c>
      <c r="BF317" s="16" t="s">
        <v>85</v>
      </c>
      <c r="BG317" s="16" t="s">
        <v>85</v>
      </c>
      <c r="BH317" s="16" t="s">
        <v>85</v>
      </c>
      <c r="BI317" s="16" t="s">
        <v>85</v>
      </c>
      <c r="BJ317" s="16" t="s">
        <v>85</v>
      </c>
      <c r="BK317" s="10"/>
    </row>
    <row r="318">
      <c r="A318" s="21"/>
      <c r="B318" s="21"/>
      <c r="C318" s="21"/>
      <c r="D318" s="21"/>
      <c r="E318" s="18">
        <v>7.0</v>
      </c>
      <c r="F318" s="19">
        <v>183.0</v>
      </c>
      <c r="G318" s="21"/>
      <c r="H318" s="21"/>
      <c r="I318" s="21"/>
      <c r="J318" s="21"/>
      <c r="K318" s="21"/>
      <c r="L318" s="19">
        <v>367.0</v>
      </c>
      <c r="M318" s="21"/>
      <c r="N318" s="21"/>
      <c r="O318" s="18">
        <v>734.0</v>
      </c>
      <c r="P318" s="21"/>
      <c r="Q318" s="19">
        <v>122.0</v>
      </c>
      <c r="R318" s="21"/>
      <c r="S318" s="21"/>
      <c r="T318" s="18">
        <v>2310.0</v>
      </c>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10"/>
    </row>
    <row r="319">
      <c r="A319" s="21"/>
      <c r="B319" s="21"/>
      <c r="C319" s="21"/>
      <c r="D319" s="21"/>
      <c r="E319" s="18">
        <v>8.0</v>
      </c>
      <c r="F319" s="19">
        <v>202.0</v>
      </c>
      <c r="G319" s="21"/>
      <c r="H319" s="21"/>
      <c r="I319" s="21"/>
      <c r="J319" s="21"/>
      <c r="K319" s="21"/>
      <c r="L319" s="19">
        <v>404.0</v>
      </c>
      <c r="M319" s="21"/>
      <c r="N319" s="21"/>
      <c r="O319" s="18">
        <v>808.0</v>
      </c>
      <c r="P319" s="21"/>
      <c r="Q319" s="19">
        <v>134.0</v>
      </c>
      <c r="R319" s="21"/>
      <c r="S319" s="21"/>
      <c r="T319" s="18">
        <v>2541.0</v>
      </c>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10"/>
    </row>
    <row r="320">
      <c r="A320" s="21"/>
      <c r="B320" s="21"/>
      <c r="C320" s="21"/>
      <c r="D320" s="21"/>
      <c r="E320" s="18">
        <v>9.0</v>
      </c>
      <c r="F320" s="19">
        <v>222.0</v>
      </c>
      <c r="G320" s="21"/>
      <c r="H320" s="21"/>
      <c r="I320" s="21"/>
      <c r="J320" s="21"/>
      <c r="K320" s="21"/>
      <c r="L320" s="19">
        <v>444.0</v>
      </c>
      <c r="M320" s="21"/>
      <c r="N320" s="21"/>
      <c r="O320" s="18">
        <v>888.0</v>
      </c>
      <c r="P320" s="21"/>
      <c r="Q320" s="19">
        <v>148.0</v>
      </c>
      <c r="R320" s="21"/>
      <c r="S320" s="21"/>
      <c r="T320" s="18">
        <v>2793.0</v>
      </c>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10"/>
    </row>
    <row r="321">
      <c r="A321" s="21"/>
      <c r="B321" s="21"/>
      <c r="C321" s="21"/>
      <c r="D321" s="21"/>
      <c r="E321" s="18">
        <v>10.0</v>
      </c>
      <c r="F321" s="19">
        <v>243.0</v>
      </c>
      <c r="G321" s="21"/>
      <c r="H321" s="21"/>
      <c r="I321" s="21"/>
      <c r="J321" s="21"/>
      <c r="K321" s="21"/>
      <c r="L321" s="19">
        <v>487.0</v>
      </c>
      <c r="M321" s="21"/>
      <c r="N321" s="21"/>
      <c r="O321" s="18">
        <v>974.0</v>
      </c>
      <c r="P321" s="21"/>
      <c r="Q321" s="19">
        <v>162.0</v>
      </c>
      <c r="R321" s="21"/>
      <c r="S321" s="21"/>
      <c r="T321" s="18">
        <v>3066.0</v>
      </c>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10"/>
    </row>
    <row r="322">
      <c r="A322" s="21"/>
      <c r="B322" s="21"/>
      <c r="C322" s="21"/>
      <c r="D322" s="21"/>
      <c r="E322" s="18">
        <v>11.0</v>
      </c>
      <c r="F322" s="19">
        <v>267.0</v>
      </c>
      <c r="G322" s="21"/>
      <c r="H322" s="21"/>
      <c r="I322" s="21"/>
      <c r="J322" s="21"/>
      <c r="K322" s="21"/>
      <c r="L322" s="19">
        <v>534.0</v>
      </c>
      <c r="M322" s="21"/>
      <c r="N322" s="21"/>
      <c r="O322" s="18">
        <v>1068.0</v>
      </c>
      <c r="P322" s="21"/>
      <c r="Q322" s="19">
        <v>178.0</v>
      </c>
      <c r="R322" s="21"/>
      <c r="S322" s="21"/>
      <c r="T322" s="18">
        <v>3360.0</v>
      </c>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10"/>
    </row>
    <row r="323">
      <c r="A323" s="21"/>
      <c r="B323" s="21"/>
      <c r="C323" s="21"/>
      <c r="D323" s="21"/>
      <c r="E323" s="18">
        <v>12.0</v>
      </c>
      <c r="F323" s="19">
        <v>293.0</v>
      </c>
      <c r="G323" s="21"/>
      <c r="H323" s="21"/>
      <c r="I323" s="21"/>
      <c r="J323" s="21"/>
      <c r="K323" s="21"/>
      <c r="L323" s="19">
        <v>587.0</v>
      </c>
      <c r="M323" s="21"/>
      <c r="N323" s="21"/>
      <c r="O323" s="18">
        <v>1174.0</v>
      </c>
      <c r="P323" s="21"/>
      <c r="Q323" s="19">
        <v>195.0</v>
      </c>
      <c r="R323" s="21"/>
      <c r="S323" s="21"/>
      <c r="T323" s="18">
        <v>3696.0</v>
      </c>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10"/>
    </row>
    <row r="324">
      <c r="A324" s="22"/>
      <c r="B324" s="22"/>
      <c r="C324" s="22"/>
      <c r="D324" s="22"/>
      <c r="E324" s="18">
        <v>13.0</v>
      </c>
      <c r="F324" s="19">
        <v>322.0</v>
      </c>
      <c r="G324" s="22"/>
      <c r="H324" s="22"/>
      <c r="I324" s="22"/>
      <c r="J324" s="22"/>
      <c r="K324" s="22"/>
      <c r="L324" s="19">
        <v>644.0</v>
      </c>
      <c r="M324" s="22"/>
      <c r="N324" s="22"/>
      <c r="O324" s="18">
        <v>1288.0</v>
      </c>
      <c r="P324" s="22"/>
      <c r="Q324" s="19">
        <v>214.0</v>
      </c>
      <c r="R324" s="22"/>
      <c r="S324" s="22"/>
      <c r="T324" s="18">
        <v>4053.0</v>
      </c>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10"/>
    </row>
    <row r="325">
      <c r="A325" s="16" t="s">
        <v>179</v>
      </c>
      <c r="B325" s="30" t="s">
        <v>131</v>
      </c>
      <c r="C325" s="16" t="s">
        <v>87</v>
      </c>
      <c r="D325" s="16">
        <v>7.0</v>
      </c>
      <c r="E325" s="18">
        <v>6.0</v>
      </c>
      <c r="F325" s="18">
        <v>510.0</v>
      </c>
      <c r="G325" s="16" t="s">
        <v>85</v>
      </c>
      <c r="H325" s="16" t="s">
        <v>85</v>
      </c>
      <c r="I325" s="16" t="s">
        <v>85</v>
      </c>
      <c r="J325" s="16" t="s">
        <v>85</v>
      </c>
      <c r="K325" s="16" t="s">
        <v>85</v>
      </c>
      <c r="L325" s="16" t="s">
        <v>85</v>
      </c>
      <c r="M325" s="16" t="s">
        <v>85</v>
      </c>
      <c r="N325" s="16" t="s">
        <v>85</v>
      </c>
      <c r="O325" s="16" t="s">
        <v>85</v>
      </c>
      <c r="P325" s="16" t="s">
        <v>85</v>
      </c>
      <c r="Q325" s="18">
        <v>283.0</v>
      </c>
      <c r="R325" s="16" t="s">
        <v>85</v>
      </c>
      <c r="S325" s="16" t="s">
        <v>85</v>
      </c>
      <c r="T325" s="18">
        <v>2350.0</v>
      </c>
      <c r="U325" s="16" t="s">
        <v>85</v>
      </c>
      <c r="V325" s="16" t="s">
        <v>85</v>
      </c>
      <c r="W325" s="16" t="s">
        <v>85</v>
      </c>
      <c r="X325" s="16" t="s">
        <v>85</v>
      </c>
      <c r="Y325" s="16" t="s">
        <v>85</v>
      </c>
      <c r="Z325" s="16" t="s">
        <v>85</v>
      </c>
      <c r="AA325" s="16" t="s">
        <v>85</v>
      </c>
      <c r="AB325" s="16" t="s">
        <v>85</v>
      </c>
      <c r="AC325" s="16" t="s">
        <v>85</v>
      </c>
      <c r="AD325" s="16" t="s">
        <v>85</v>
      </c>
      <c r="AE325" s="16" t="s">
        <v>124</v>
      </c>
      <c r="AF325" s="16" t="s">
        <v>98</v>
      </c>
      <c r="AG325" s="16" t="s">
        <v>110</v>
      </c>
      <c r="AH325" s="16" t="s">
        <v>85</v>
      </c>
      <c r="AI325" s="16" t="s">
        <v>99</v>
      </c>
      <c r="AJ325" s="16" t="s">
        <v>85</v>
      </c>
      <c r="AK325" s="16" t="s">
        <v>85</v>
      </c>
      <c r="AL325" s="16" t="s">
        <v>85</v>
      </c>
      <c r="AM325" s="16" t="s">
        <v>85</v>
      </c>
      <c r="AN325" s="16" t="s">
        <v>85</v>
      </c>
      <c r="AO325" s="16" t="s">
        <v>85</v>
      </c>
      <c r="AP325" s="16" t="s">
        <v>85</v>
      </c>
      <c r="AQ325" s="16" t="s">
        <v>85</v>
      </c>
      <c r="AR325" s="16" t="s">
        <v>85</v>
      </c>
      <c r="AS325" s="16" t="s">
        <v>85</v>
      </c>
      <c r="AT325" s="16" t="s">
        <v>85</v>
      </c>
      <c r="AU325" s="16" t="s">
        <v>85</v>
      </c>
      <c r="AV325" s="16" t="s">
        <v>85</v>
      </c>
      <c r="AW325" s="16" t="s">
        <v>85</v>
      </c>
      <c r="AX325" s="16" t="s">
        <v>85</v>
      </c>
      <c r="AY325" s="16" t="s">
        <v>85</v>
      </c>
      <c r="AZ325" s="16" t="s">
        <v>85</v>
      </c>
      <c r="BA325" s="16" t="s">
        <v>85</v>
      </c>
      <c r="BB325" s="16" t="s">
        <v>85</v>
      </c>
      <c r="BC325" s="16" t="s">
        <v>85</v>
      </c>
      <c r="BD325" s="16" t="s">
        <v>85</v>
      </c>
      <c r="BE325" s="16" t="s">
        <v>85</v>
      </c>
      <c r="BF325" s="16" t="s">
        <v>85</v>
      </c>
      <c r="BG325" s="16" t="s">
        <v>85</v>
      </c>
      <c r="BH325" s="16" t="s">
        <v>85</v>
      </c>
      <c r="BI325" s="16" t="s">
        <v>85</v>
      </c>
      <c r="BJ325" s="16" t="s">
        <v>85</v>
      </c>
      <c r="BK325" s="10"/>
    </row>
    <row r="326">
      <c r="A326" s="21"/>
      <c r="B326" s="21"/>
      <c r="C326" s="21"/>
      <c r="D326" s="21"/>
      <c r="E326" s="18">
        <v>7.0</v>
      </c>
      <c r="F326" s="18">
        <v>561.0</v>
      </c>
      <c r="G326" s="21"/>
      <c r="H326" s="21"/>
      <c r="I326" s="21"/>
      <c r="J326" s="21"/>
      <c r="K326" s="21"/>
      <c r="L326" s="21"/>
      <c r="M326" s="21"/>
      <c r="N326" s="21"/>
      <c r="O326" s="21"/>
      <c r="P326" s="21"/>
      <c r="Q326" s="18">
        <v>311.0</v>
      </c>
      <c r="R326" s="21"/>
      <c r="S326" s="21"/>
      <c r="T326" s="19">
        <v>2585.0</v>
      </c>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10"/>
    </row>
    <row r="327">
      <c r="A327" s="21"/>
      <c r="B327" s="21"/>
      <c r="C327" s="21"/>
      <c r="D327" s="21"/>
      <c r="E327" s="18">
        <v>8.0</v>
      </c>
      <c r="F327" s="18">
        <v>617.0</v>
      </c>
      <c r="G327" s="21"/>
      <c r="H327" s="21"/>
      <c r="I327" s="21"/>
      <c r="J327" s="21"/>
      <c r="K327" s="21"/>
      <c r="L327" s="21"/>
      <c r="M327" s="21"/>
      <c r="N327" s="21"/>
      <c r="O327" s="21"/>
      <c r="P327" s="21"/>
      <c r="Q327" s="18">
        <v>342.0</v>
      </c>
      <c r="R327" s="21"/>
      <c r="S327" s="21"/>
      <c r="T327" s="19">
        <v>2843.0</v>
      </c>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10"/>
    </row>
    <row r="328">
      <c r="A328" s="21"/>
      <c r="B328" s="21"/>
      <c r="C328" s="21"/>
      <c r="D328" s="21"/>
      <c r="E328" s="18">
        <v>9.0</v>
      </c>
      <c r="F328" s="18">
        <v>678.0</v>
      </c>
      <c r="G328" s="21"/>
      <c r="H328" s="21"/>
      <c r="I328" s="21"/>
      <c r="J328" s="21"/>
      <c r="K328" s="21"/>
      <c r="L328" s="21"/>
      <c r="M328" s="21"/>
      <c r="N328" s="21"/>
      <c r="O328" s="21"/>
      <c r="P328" s="21"/>
      <c r="Q328" s="18">
        <v>376.0</v>
      </c>
      <c r="R328" s="21"/>
      <c r="S328" s="21"/>
      <c r="T328" s="19">
        <v>3125.0</v>
      </c>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10"/>
    </row>
    <row r="329">
      <c r="A329" s="21"/>
      <c r="B329" s="21"/>
      <c r="C329" s="21"/>
      <c r="D329" s="21"/>
      <c r="E329" s="18">
        <v>10.0</v>
      </c>
      <c r="F329" s="18">
        <v>744.0</v>
      </c>
      <c r="G329" s="21"/>
      <c r="H329" s="21"/>
      <c r="I329" s="21"/>
      <c r="J329" s="21"/>
      <c r="K329" s="21"/>
      <c r="L329" s="21"/>
      <c r="M329" s="21"/>
      <c r="N329" s="21"/>
      <c r="O329" s="21"/>
      <c r="P329" s="21"/>
      <c r="Q329" s="18">
        <v>413.0</v>
      </c>
      <c r="R329" s="21"/>
      <c r="S329" s="21"/>
      <c r="T329" s="19">
        <v>3431.0</v>
      </c>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10"/>
    </row>
    <row r="330">
      <c r="A330" s="21"/>
      <c r="B330" s="21"/>
      <c r="C330" s="21"/>
      <c r="D330" s="21"/>
      <c r="E330" s="18">
        <v>11.0</v>
      </c>
      <c r="F330" s="18">
        <v>816.0</v>
      </c>
      <c r="G330" s="21"/>
      <c r="H330" s="21"/>
      <c r="I330" s="21"/>
      <c r="J330" s="21"/>
      <c r="K330" s="21"/>
      <c r="L330" s="21"/>
      <c r="M330" s="21"/>
      <c r="N330" s="21"/>
      <c r="O330" s="21"/>
      <c r="P330" s="21"/>
      <c r="Q330" s="18">
        <v>453.0</v>
      </c>
      <c r="R330" s="21"/>
      <c r="S330" s="21"/>
      <c r="T330" s="19">
        <v>3760.0</v>
      </c>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10"/>
    </row>
    <row r="331">
      <c r="A331" s="21"/>
      <c r="B331" s="21"/>
      <c r="C331" s="21"/>
      <c r="D331" s="21"/>
      <c r="E331" s="18">
        <v>12.0</v>
      </c>
      <c r="F331" s="18">
        <v>897.0</v>
      </c>
      <c r="G331" s="21"/>
      <c r="H331" s="21"/>
      <c r="I331" s="21"/>
      <c r="J331" s="21"/>
      <c r="K331" s="21"/>
      <c r="L331" s="21"/>
      <c r="M331" s="21"/>
      <c r="N331" s="21"/>
      <c r="O331" s="21"/>
      <c r="P331" s="21"/>
      <c r="Q331" s="18">
        <v>498.0</v>
      </c>
      <c r="R331" s="21"/>
      <c r="S331" s="21"/>
      <c r="T331" s="19">
        <v>4136.0</v>
      </c>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10"/>
    </row>
    <row r="332">
      <c r="A332" s="22"/>
      <c r="B332" s="22"/>
      <c r="C332" s="22"/>
      <c r="D332" s="22"/>
      <c r="E332" s="18">
        <v>13.0</v>
      </c>
      <c r="F332" s="18">
        <v>984.0</v>
      </c>
      <c r="G332" s="22"/>
      <c r="H332" s="22"/>
      <c r="I332" s="22"/>
      <c r="J332" s="22"/>
      <c r="K332" s="22"/>
      <c r="L332" s="22"/>
      <c r="M332" s="22"/>
      <c r="N332" s="22"/>
      <c r="O332" s="22"/>
      <c r="P332" s="22"/>
      <c r="Q332" s="18">
        <v>546.0</v>
      </c>
      <c r="R332" s="22"/>
      <c r="S332" s="22"/>
      <c r="T332" s="19">
        <v>4535.0</v>
      </c>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10"/>
    </row>
    <row r="333">
      <c r="A333" s="16" t="s">
        <v>180</v>
      </c>
      <c r="B333" s="35" t="s">
        <v>181</v>
      </c>
      <c r="C333" s="16" t="s">
        <v>87</v>
      </c>
      <c r="D333" s="16">
        <v>3.0</v>
      </c>
      <c r="E333" s="32">
        <v>9.0</v>
      </c>
      <c r="F333" s="18">
        <v>160.0</v>
      </c>
      <c r="G333" s="16" t="s">
        <v>85</v>
      </c>
      <c r="H333" s="16" t="s">
        <v>85</v>
      </c>
      <c r="I333" s="16" t="s">
        <v>85</v>
      </c>
      <c r="J333" s="16" t="s">
        <v>85</v>
      </c>
      <c r="K333" s="16" t="s">
        <v>85</v>
      </c>
      <c r="L333" s="16" t="s">
        <v>85</v>
      </c>
      <c r="M333" s="18">
        <v>48.0</v>
      </c>
      <c r="N333" s="16" t="s">
        <v>85</v>
      </c>
      <c r="O333" s="16" t="s">
        <v>85</v>
      </c>
      <c r="P333" s="16" t="s">
        <v>85</v>
      </c>
      <c r="Q333" s="18">
        <v>133.0</v>
      </c>
      <c r="R333" s="16" t="s">
        <v>85</v>
      </c>
      <c r="S333" s="16" t="s">
        <v>85</v>
      </c>
      <c r="T333" s="18">
        <v>1000.0</v>
      </c>
      <c r="U333" s="16" t="s">
        <v>85</v>
      </c>
      <c r="V333" s="16" t="s">
        <v>85</v>
      </c>
      <c r="W333" s="16" t="s">
        <v>85</v>
      </c>
      <c r="X333" s="16" t="s">
        <v>85</v>
      </c>
      <c r="Y333" s="16" t="s">
        <v>85</v>
      </c>
      <c r="Z333" s="16" t="s">
        <v>85</v>
      </c>
      <c r="AA333" s="16" t="s">
        <v>85</v>
      </c>
      <c r="AB333" s="16" t="s">
        <v>85</v>
      </c>
      <c r="AC333" s="16" t="s">
        <v>85</v>
      </c>
      <c r="AD333" s="16" t="s">
        <v>85</v>
      </c>
      <c r="AE333" s="16" t="s">
        <v>94</v>
      </c>
      <c r="AF333" s="16" t="s">
        <v>98</v>
      </c>
      <c r="AG333" s="16" t="s">
        <v>90</v>
      </c>
      <c r="AH333" s="16" t="s">
        <v>85</v>
      </c>
      <c r="AI333" s="16" t="s">
        <v>99</v>
      </c>
      <c r="AJ333" s="16" t="s">
        <v>85</v>
      </c>
      <c r="AK333" s="16" t="s">
        <v>85</v>
      </c>
      <c r="AL333" s="16" t="s">
        <v>85</v>
      </c>
      <c r="AM333" s="16" t="s">
        <v>85</v>
      </c>
      <c r="AN333" s="16" t="s">
        <v>85</v>
      </c>
      <c r="AO333" s="16" t="s">
        <v>85</v>
      </c>
      <c r="AP333" s="16" t="s">
        <v>85</v>
      </c>
      <c r="AQ333" s="16" t="s">
        <v>85</v>
      </c>
      <c r="AR333" s="16" t="s">
        <v>85</v>
      </c>
      <c r="AS333" s="16" t="s">
        <v>85</v>
      </c>
      <c r="AT333" s="16" t="s">
        <v>85</v>
      </c>
      <c r="AU333" s="16" t="s">
        <v>85</v>
      </c>
      <c r="AV333" s="16" t="s">
        <v>85</v>
      </c>
      <c r="AW333" s="16" t="s">
        <v>85</v>
      </c>
      <c r="AX333" s="16" t="s">
        <v>85</v>
      </c>
      <c r="AY333" s="16" t="s">
        <v>85</v>
      </c>
      <c r="AZ333" s="16" t="s">
        <v>85</v>
      </c>
      <c r="BA333" s="16" t="s">
        <v>85</v>
      </c>
      <c r="BB333" s="16" t="s">
        <v>85</v>
      </c>
      <c r="BC333" s="16" t="s">
        <v>85</v>
      </c>
      <c r="BD333" s="16" t="s">
        <v>85</v>
      </c>
      <c r="BE333" s="16" t="s">
        <v>85</v>
      </c>
      <c r="BF333" s="16" t="s">
        <v>85</v>
      </c>
      <c r="BG333" s="16" t="s">
        <v>85</v>
      </c>
      <c r="BH333" s="16" t="s">
        <v>85</v>
      </c>
      <c r="BI333" s="16" t="s">
        <v>85</v>
      </c>
      <c r="BJ333" s="16" t="s">
        <v>85</v>
      </c>
      <c r="BK333" s="10"/>
    </row>
    <row r="334">
      <c r="A334" s="21"/>
      <c r="B334" s="21"/>
      <c r="C334" s="21"/>
      <c r="D334" s="21"/>
      <c r="E334" s="32">
        <v>10.0</v>
      </c>
      <c r="F334" s="18">
        <v>176.0</v>
      </c>
      <c r="G334" s="21"/>
      <c r="H334" s="21"/>
      <c r="I334" s="21"/>
      <c r="J334" s="21"/>
      <c r="K334" s="21"/>
      <c r="L334" s="21"/>
      <c r="M334" s="18">
        <v>53.0</v>
      </c>
      <c r="N334" s="21"/>
      <c r="O334" s="21"/>
      <c r="P334" s="21"/>
      <c r="Q334" s="18">
        <v>146.0</v>
      </c>
      <c r="R334" s="21"/>
      <c r="S334" s="21"/>
      <c r="T334" s="18">
        <v>1100.0</v>
      </c>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10"/>
    </row>
    <row r="335">
      <c r="A335" s="21"/>
      <c r="B335" s="21"/>
      <c r="C335" s="21"/>
      <c r="D335" s="21"/>
      <c r="E335" s="32">
        <v>11.0</v>
      </c>
      <c r="F335" s="18">
        <v>193.0</v>
      </c>
      <c r="G335" s="21"/>
      <c r="H335" s="21"/>
      <c r="I335" s="21"/>
      <c r="J335" s="21"/>
      <c r="K335" s="21"/>
      <c r="L335" s="21"/>
      <c r="M335" s="18">
        <v>58.0</v>
      </c>
      <c r="N335" s="21"/>
      <c r="O335" s="21"/>
      <c r="P335" s="21"/>
      <c r="Q335" s="18">
        <v>160.0</v>
      </c>
      <c r="R335" s="21"/>
      <c r="S335" s="21"/>
      <c r="T335" s="18">
        <v>1210.0</v>
      </c>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10"/>
    </row>
    <row r="336">
      <c r="A336" s="21"/>
      <c r="B336" s="21"/>
      <c r="C336" s="21"/>
      <c r="D336" s="21"/>
      <c r="E336" s="32">
        <v>12.0</v>
      </c>
      <c r="F336" s="18">
        <v>212.0</v>
      </c>
      <c r="G336" s="21"/>
      <c r="H336" s="21"/>
      <c r="I336" s="21"/>
      <c r="J336" s="21"/>
      <c r="K336" s="21"/>
      <c r="L336" s="21"/>
      <c r="M336" s="18">
        <v>64.0</v>
      </c>
      <c r="N336" s="21"/>
      <c r="O336" s="21"/>
      <c r="P336" s="21"/>
      <c r="Q336" s="18">
        <v>176.0</v>
      </c>
      <c r="R336" s="21"/>
      <c r="S336" s="21"/>
      <c r="T336" s="18">
        <v>1330.0</v>
      </c>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10"/>
    </row>
    <row r="337">
      <c r="A337" s="22"/>
      <c r="B337" s="22"/>
      <c r="C337" s="22"/>
      <c r="D337" s="22"/>
      <c r="E337" s="32">
        <v>13.0</v>
      </c>
      <c r="F337" s="18">
        <v>233.0</v>
      </c>
      <c r="G337" s="22"/>
      <c r="H337" s="22"/>
      <c r="I337" s="22"/>
      <c r="J337" s="22"/>
      <c r="K337" s="22"/>
      <c r="L337" s="22"/>
      <c r="M337" s="18">
        <v>70.0</v>
      </c>
      <c r="N337" s="22"/>
      <c r="O337" s="22"/>
      <c r="P337" s="22"/>
      <c r="Q337" s="18">
        <v>194.0</v>
      </c>
      <c r="R337" s="22"/>
      <c r="S337" s="22"/>
      <c r="T337" s="18">
        <v>1460.0</v>
      </c>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10"/>
    </row>
    <row r="338">
      <c r="A338" s="12" t="s">
        <v>182</v>
      </c>
      <c r="B338" s="13" t="s">
        <v>183</v>
      </c>
      <c r="C338" s="14"/>
      <c r="D338" s="14"/>
      <c r="E338" s="15"/>
      <c r="F338" s="29"/>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5"/>
      <c r="BK338" s="10"/>
    </row>
    <row r="339">
      <c r="A339" s="16" t="s">
        <v>184</v>
      </c>
      <c r="B339" s="33" t="s">
        <v>83</v>
      </c>
      <c r="C339" s="16" t="s">
        <v>84</v>
      </c>
      <c r="D339" s="16">
        <v>2.0</v>
      </c>
      <c r="E339" s="32">
        <v>1.0</v>
      </c>
      <c r="F339" s="16" t="s">
        <v>85</v>
      </c>
      <c r="G339" s="18">
        <v>75.0</v>
      </c>
      <c r="H339" s="16" t="s">
        <v>85</v>
      </c>
      <c r="I339" s="16" t="s">
        <v>85</v>
      </c>
      <c r="J339" s="16" t="s">
        <v>85</v>
      </c>
      <c r="K339" s="16" t="s">
        <v>85</v>
      </c>
      <c r="L339" s="16" t="s">
        <v>85</v>
      </c>
      <c r="M339" s="18">
        <v>23.0</v>
      </c>
      <c r="N339" s="16" t="s">
        <v>85</v>
      </c>
      <c r="O339" s="16" t="s">
        <v>85</v>
      </c>
      <c r="P339" s="16" t="s">
        <v>85</v>
      </c>
      <c r="Q339" s="16" t="s">
        <v>85</v>
      </c>
      <c r="R339" s="16" t="s">
        <v>85</v>
      </c>
      <c r="S339" s="16" t="s">
        <v>85</v>
      </c>
      <c r="T339" s="16" t="s">
        <v>85</v>
      </c>
      <c r="U339" s="16" t="s">
        <v>85</v>
      </c>
      <c r="V339" s="16" t="s">
        <v>85</v>
      </c>
      <c r="W339" s="16" t="s">
        <v>85</v>
      </c>
      <c r="X339" s="16" t="s">
        <v>85</v>
      </c>
      <c r="Y339" s="16" t="s">
        <v>85</v>
      </c>
      <c r="Z339" s="16" t="s">
        <v>85</v>
      </c>
      <c r="AA339" s="16" t="s">
        <v>85</v>
      </c>
      <c r="AB339" s="16" t="s">
        <v>85</v>
      </c>
      <c r="AC339" s="16" t="s">
        <v>85</v>
      </c>
      <c r="AD339" s="16" t="s">
        <v>85</v>
      </c>
      <c r="AE339" s="16" t="s">
        <v>85</v>
      </c>
      <c r="AF339" s="16" t="s">
        <v>85</v>
      </c>
      <c r="AG339" s="16" t="s">
        <v>85</v>
      </c>
      <c r="AH339" s="16" t="s">
        <v>85</v>
      </c>
      <c r="AI339" s="16" t="s">
        <v>85</v>
      </c>
      <c r="AJ339" s="16" t="s">
        <v>85</v>
      </c>
      <c r="AK339" s="16" t="s">
        <v>85</v>
      </c>
      <c r="AL339" s="16" t="s">
        <v>85</v>
      </c>
      <c r="AM339" s="16" t="s">
        <v>85</v>
      </c>
      <c r="AN339" s="16" t="s">
        <v>85</v>
      </c>
      <c r="AO339" s="16" t="s">
        <v>85</v>
      </c>
      <c r="AP339" s="16" t="s">
        <v>85</v>
      </c>
      <c r="AQ339" s="16" t="s">
        <v>85</v>
      </c>
      <c r="AR339" s="16" t="s">
        <v>85</v>
      </c>
      <c r="AS339" s="16" t="s">
        <v>185</v>
      </c>
      <c r="AT339" s="16" t="s">
        <v>85</v>
      </c>
      <c r="AU339" s="16" t="s">
        <v>85</v>
      </c>
      <c r="AV339" s="16" t="s">
        <v>85</v>
      </c>
      <c r="AW339" s="16" t="s">
        <v>85</v>
      </c>
      <c r="AX339" s="16" t="s">
        <v>85</v>
      </c>
      <c r="AY339" s="16" t="s">
        <v>85</v>
      </c>
      <c r="AZ339" s="16" t="s">
        <v>85</v>
      </c>
      <c r="BA339" s="16" t="s">
        <v>85</v>
      </c>
      <c r="BB339" s="16" t="s">
        <v>85</v>
      </c>
      <c r="BC339" s="16" t="s">
        <v>85</v>
      </c>
      <c r="BD339" s="16" t="s">
        <v>85</v>
      </c>
      <c r="BE339" s="16" t="s">
        <v>85</v>
      </c>
      <c r="BF339" s="16" t="s">
        <v>85</v>
      </c>
      <c r="BG339" s="16" t="s">
        <v>85</v>
      </c>
      <c r="BH339" s="16" t="s">
        <v>85</v>
      </c>
      <c r="BI339" s="16" t="s">
        <v>85</v>
      </c>
      <c r="BJ339" s="16">
        <v>2.5</v>
      </c>
      <c r="BK339" s="10"/>
    </row>
    <row r="340">
      <c r="A340" s="21"/>
      <c r="B340" s="21"/>
      <c r="C340" s="21"/>
      <c r="D340" s="21"/>
      <c r="E340" s="32">
        <v>2.0</v>
      </c>
      <c r="F340" s="21"/>
      <c r="G340" s="18">
        <v>82.0</v>
      </c>
      <c r="H340" s="21"/>
      <c r="I340" s="21"/>
      <c r="J340" s="21"/>
      <c r="K340" s="21"/>
      <c r="L340" s="21"/>
      <c r="M340" s="18">
        <v>25.0</v>
      </c>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10"/>
    </row>
    <row r="341">
      <c r="A341" s="21"/>
      <c r="B341" s="21"/>
      <c r="C341" s="21"/>
      <c r="D341" s="21"/>
      <c r="E341" s="32">
        <v>3.0</v>
      </c>
      <c r="F341" s="21"/>
      <c r="G341" s="18">
        <v>90.0</v>
      </c>
      <c r="H341" s="21"/>
      <c r="I341" s="21"/>
      <c r="J341" s="21"/>
      <c r="K341" s="21"/>
      <c r="L341" s="21"/>
      <c r="M341" s="18">
        <v>27.0</v>
      </c>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10"/>
    </row>
    <row r="342">
      <c r="A342" s="21"/>
      <c r="B342" s="21"/>
      <c r="C342" s="21"/>
      <c r="D342" s="21"/>
      <c r="E342" s="32">
        <v>4.0</v>
      </c>
      <c r="F342" s="21"/>
      <c r="G342" s="18">
        <v>99.0</v>
      </c>
      <c r="H342" s="21"/>
      <c r="I342" s="21"/>
      <c r="J342" s="21"/>
      <c r="K342" s="21"/>
      <c r="L342" s="21"/>
      <c r="M342" s="18">
        <v>30.0</v>
      </c>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10"/>
    </row>
    <row r="343">
      <c r="A343" s="21"/>
      <c r="B343" s="21"/>
      <c r="C343" s="21"/>
      <c r="D343" s="21"/>
      <c r="E343" s="32">
        <v>5.0</v>
      </c>
      <c r="F343" s="21"/>
      <c r="G343" s="18">
        <v>109.0</v>
      </c>
      <c r="H343" s="21"/>
      <c r="I343" s="21"/>
      <c r="J343" s="21"/>
      <c r="K343" s="21"/>
      <c r="L343" s="21"/>
      <c r="M343" s="18">
        <v>33.0</v>
      </c>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10"/>
    </row>
    <row r="344">
      <c r="A344" s="21"/>
      <c r="B344" s="21"/>
      <c r="C344" s="21"/>
      <c r="D344" s="21"/>
      <c r="E344" s="32">
        <v>6.0</v>
      </c>
      <c r="F344" s="21"/>
      <c r="G344" s="18">
        <v>120.0</v>
      </c>
      <c r="H344" s="21"/>
      <c r="I344" s="21"/>
      <c r="J344" s="21"/>
      <c r="K344" s="21"/>
      <c r="L344" s="21"/>
      <c r="M344" s="18">
        <v>36.0</v>
      </c>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10"/>
    </row>
    <row r="345">
      <c r="A345" s="21"/>
      <c r="B345" s="21"/>
      <c r="C345" s="21"/>
      <c r="D345" s="21"/>
      <c r="E345" s="32">
        <v>7.0</v>
      </c>
      <c r="F345" s="21"/>
      <c r="G345" s="18">
        <v>132.0</v>
      </c>
      <c r="H345" s="21"/>
      <c r="I345" s="21"/>
      <c r="J345" s="21"/>
      <c r="K345" s="21"/>
      <c r="L345" s="21"/>
      <c r="M345" s="18">
        <v>40.0</v>
      </c>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10"/>
    </row>
    <row r="346">
      <c r="A346" s="21"/>
      <c r="B346" s="21"/>
      <c r="C346" s="21"/>
      <c r="D346" s="21"/>
      <c r="E346" s="32">
        <v>8.0</v>
      </c>
      <c r="F346" s="21"/>
      <c r="G346" s="18">
        <v>144.0</v>
      </c>
      <c r="H346" s="21"/>
      <c r="I346" s="21"/>
      <c r="J346" s="21"/>
      <c r="K346" s="21"/>
      <c r="L346" s="21"/>
      <c r="M346" s="18">
        <v>44.0</v>
      </c>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10"/>
    </row>
    <row r="347">
      <c r="A347" s="21"/>
      <c r="B347" s="21"/>
      <c r="C347" s="21"/>
      <c r="D347" s="21"/>
      <c r="E347" s="32">
        <v>9.0</v>
      </c>
      <c r="F347" s="21"/>
      <c r="G347" s="18">
        <v>159.0</v>
      </c>
      <c r="H347" s="21"/>
      <c r="I347" s="21"/>
      <c r="J347" s="21"/>
      <c r="K347" s="21"/>
      <c r="L347" s="21"/>
      <c r="M347" s="18">
        <v>48.0</v>
      </c>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10"/>
    </row>
    <row r="348">
      <c r="A348" s="21"/>
      <c r="B348" s="21"/>
      <c r="C348" s="21"/>
      <c r="D348" s="21"/>
      <c r="E348" s="32">
        <v>10.0</v>
      </c>
      <c r="F348" s="21"/>
      <c r="G348" s="18">
        <v>174.0</v>
      </c>
      <c r="H348" s="21"/>
      <c r="I348" s="21"/>
      <c r="J348" s="21"/>
      <c r="K348" s="21"/>
      <c r="L348" s="21"/>
      <c r="M348" s="18">
        <v>53.0</v>
      </c>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10"/>
    </row>
    <row r="349">
      <c r="A349" s="21"/>
      <c r="B349" s="21"/>
      <c r="C349" s="21"/>
      <c r="D349" s="21"/>
      <c r="E349" s="32">
        <v>11.0</v>
      </c>
      <c r="F349" s="21"/>
      <c r="G349" s="18">
        <v>192.0</v>
      </c>
      <c r="H349" s="21"/>
      <c r="I349" s="21"/>
      <c r="J349" s="21"/>
      <c r="K349" s="21"/>
      <c r="L349" s="21"/>
      <c r="M349" s="18">
        <v>58.0</v>
      </c>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10"/>
    </row>
    <row r="350">
      <c r="A350" s="21"/>
      <c r="B350" s="21"/>
      <c r="C350" s="21"/>
      <c r="D350" s="21"/>
      <c r="E350" s="32">
        <v>12.0</v>
      </c>
      <c r="F350" s="21"/>
      <c r="G350" s="18">
        <v>210.0</v>
      </c>
      <c r="H350" s="21"/>
      <c r="I350" s="21"/>
      <c r="J350" s="21"/>
      <c r="K350" s="21"/>
      <c r="L350" s="21"/>
      <c r="M350" s="18">
        <v>63.0</v>
      </c>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10"/>
    </row>
    <row r="351">
      <c r="A351" s="22"/>
      <c r="B351" s="22"/>
      <c r="C351" s="22"/>
      <c r="D351" s="22"/>
      <c r="E351" s="32">
        <v>13.0</v>
      </c>
      <c r="F351" s="22"/>
      <c r="G351" s="18">
        <v>231.0</v>
      </c>
      <c r="H351" s="22"/>
      <c r="I351" s="22"/>
      <c r="J351" s="22"/>
      <c r="K351" s="22"/>
      <c r="L351" s="22"/>
      <c r="M351" s="18">
        <v>70.0</v>
      </c>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10"/>
    </row>
    <row r="352">
      <c r="A352" s="16" t="s">
        <v>186</v>
      </c>
      <c r="B352" s="17" t="s">
        <v>83</v>
      </c>
      <c r="C352" s="16" t="s">
        <v>87</v>
      </c>
      <c r="D352" s="16">
        <v>2.0</v>
      </c>
      <c r="E352" s="18">
        <v>1.0</v>
      </c>
      <c r="F352" s="18">
        <v>32.0</v>
      </c>
      <c r="G352" s="16" t="s">
        <v>85</v>
      </c>
      <c r="H352" s="16" t="s">
        <v>85</v>
      </c>
      <c r="I352" s="16" t="s">
        <v>85</v>
      </c>
      <c r="J352" s="16" t="s">
        <v>85</v>
      </c>
      <c r="K352" s="16" t="s">
        <v>85</v>
      </c>
      <c r="L352" s="16" t="s">
        <v>85</v>
      </c>
      <c r="M352" s="16" t="s">
        <v>85</v>
      </c>
      <c r="N352" s="16" t="s">
        <v>85</v>
      </c>
      <c r="O352" s="16" t="s">
        <v>85</v>
      </c>
      <c r="P352" s="16" t="s">
        <v>85</v>
      </c>
      <c r="Q352" s="18">
        <v>24.0</v>
      </c>
      <c r="R352" s="16" t="s">
        <v>85</v>
      </c>
      <c r="S352" s="16" t="s">
        <v>85</v>
      </c>
      <c r="T352" s="18">
        <v>32.0</v>
      </c>
      <c r="U352" s="16" t="s">
        <v>85</v>
      </c>
      <c r="V352" s="16" t="s">
        <v>85</v>
      </c>
      <c r="W352" s="16" t="s">
        <v>85</v>
      </c>
      <c r="X352" s="16" t="s">
        <v>85</v>
      </c>
      <c r="Y352" s="16" t="s">
        <v>85</v>
      </c>
      <c r="Z352" s="16" t="s">
        <v>85</v>
      </c>
      <c r="AA352" s="16" t="s">
        <v>85</v>
      </c>
      <c r="AB352" s="16" t="s">
        <v>85</v>
      </c>
      <c r="AC352" s="16" t="s">
        <v>85</v>
      </c>
      <c r="AD352" s="16" t="s">
        <v>85</v>
      </c>
      <c r="AE352" s="16" t="s">
        <v>187</v>
      </c>
      <c r="AF352" s="16" t="s">
        <v>89</v>
      </c>
      <c r="AG352" s="16" t="s">
        <v>114</v>
      </c>
      <c r="AH352" s="16" t="s">
        <v>85</v>
      </c>
      <c r="AI352" s="16" t="s">
        <v>99</v>
      </c>
      <c r="AJ352" s="16" t="s">
        <v>85</v>
      </c>
      <c r="AK352" s="16" t="s">
        <v>85</v>
      </c>
      <c r="AL352" s="16" t="s">
        <v>85</v>
      </c>
      <c r="AM352" s="16" t="s">
        <v>141</v>
      </c>
      <c r="AN352" s="16" t="s">
        <v>85</v>
      </c>
      <c r="AO352" s="16" t="s">
        <v>85</v>
      </c>
      <c r="AP352" s="16" t="s">
        <v>85</v>
      </c>
      <c r="AQ352" s="16" t="s">
        <v>85</v>
      </c>
      <c r="AR352" s="16" t="s">
        <v>85</v>
      </c>
      <c r="AS352" s="16" t="s">
        <v>85</v>
      </c>
      <c r="AT352" s="16" t="s">
        <v>85</v>
      </c>
      <c r="AU352" s="16" t="s">
        <v>85</v>
      </c>
      <c r="AV352" s="16" t="s">
        <v>85</v>
      </c>
      <c r="AW352" s="16" t="s">
        <v>85</v>
      </c>
      <c r="AX352" s="16" t="s">
        <v>85</v>
      </c>
      <c r="AY352" s="16" t="s">
        <v>85</v>
      </c>
      <c r="AZ352" s="16" t="s">
        <v>85</v>
      </c>
      <c r="BA352" s="16" t="s">
        <v>85</v>
      </c>
      <c r="BB352" s="16" t="s">
        <v>85</v>
      </c>
      <c r="BC352" s="16" t="s">
        <v>85</v>
      </c>
      <c r="BD352" s="16" t="s">
        <v>85</v>
      </c>
      <c r="BE352" s="16" t="s">
        <v>85</v>
      </c>
      <c r="BF352" s="16" t="s">
        <v>85</v>
      </c>
      <c r="BG352" s="16" t="s">
        <v>85</v>
      </c>
      <c r="BH352" s="16" t="s">
        <v>85</v>
      </c>
      <c r="BI352" s="16" t="s">
        <v>85</v>
      </c>
      <c r="BJ352" s="16" t="s">
        <v>85</v>
      </c>
      <c r="BK352" s="10"/>
    </row>
    <row r="353">
      <c r="A353" s="21"/>
      <c r="B353" s="21"/>
      <c r="C353" s="21"/>
      <c r="D353" s="21"/>
      <c r="E353" s="18">
        <v>2.0</v>
      </c>
      <c r="F353" s="18">
        <v>35.0</v>
      </c>
      <c r="G353" s="21"/>
      <c r="H353" s="21"/>
      <c r="I353" s="21"/>
      <c r="J353" s="21"/>
      <c r="K353" s="21"/>
      <c r="L353" s="21"/>
      <c r="M353" s="21"/>
      <c r="N353" s="21"/>
      <c r="O353" s="21"/>
      <c r="P353" s="21"/>
      <c r="Q353" s="18">
        <v>26.0</v>
      </c>
      <c r="R353" s="21"/>
      <c r="S353" s="21"/>
      <c r="T353" s="18">
        <v>35.0</v>
      </c>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10"/>
    </row>
    <row r="354">
      <c r="A354" s="21"/>
      <c r="B354" s="21"/>
      <c r="C354" s="21"/>
      <c r="D354" s="21"/>
      <c r="E354" s="18">
        <v>3.0</v>
      </c>
      <c r="F354" s="18">
        <v>38.0</v>
      </c>
      <c r="G354" s="21"/>
      <c r="H354" s="21"/>
      <c r="I354" s="21"/>
      <c r="J354" s="21"/>
      <c r="K354" s="21"/>
      <c r="L354" s="21"/>
      <c r="M354" s="21"/>
      <c r="N354" s="21"/>
      <c r="O354" s="21"/>
      <c r="P354" s="21"/>
      <c r="Q354" s="18">
        <v>29.0</v>
      </c>
      <c r="R354" s="21"/>
      <c r="S354" s="21"/>
      <c r="T354" s="18">
        <v>38.0</v>
      </c>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10"/>
    </row>
    <row r="355">
      <c r="A355" s="21"/>
      <c r="B355" s="21"/>
      <c r="C355" s="21"/>
      <c r="D355" s="21"/>
      <c r="E355" s="18">
        <v>4.0</v>
      </c>
      <c r="F355" s="18">
        <v>42.0</v>
      </c>
      <c r="G355" s="21"/>
      <c r="H355" s="21"/>
      <c r="I355" s="21"/>
      <c r="J355" s="21"/>
      <c r="K355" s="21"/>
      <c r="L355" s="21"/>
      <c r="M355" s="21"/>
      <c r="N355" s="21"/>
      <c r="O355" s="21"/>
      <c r="P355" s="21"/>
      <c r="Q355" s="18">
        <v>32.0</v>
      </c>
      <c r="R355" s="21"/>
      <c r="S355" s="21"/>
      <c r="T355" s="18">
        <v>42.0</v>
      </c>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10"/>
    </row>
    <row r="356">
      <c r="A356" s="21"/>
      <c r="B356" s="21"/>
      <c r="C356" s="21"/>
      <c r="D356" s="21"/>
      <c r="E356" s="18">
        <v>5.0</v>
      </c>
      <c r="F356" s="18">
        <v>46.0</v>
      </c>
      <c r="G356" s="21"/>
      <c r="H356" s="21"/>
      <c r="I356" s="21"/>
      <c r="J356" s="21"/>
      <c r="K356" s="21"/>
      <c r="L356" s="21"/>
      <c r="M356" s="21"/>
      <c r="N356" s="21"/>
      <c r="O356" s="21"/>
      <c r="P356" s="21"/>
      <c r="Q356" s="18">
        <v>35.0</v>
      </c>
      <c r="R356" s="21"/>
      <c r="S356" s="21"/>
      <c r="T356" s="18">
        <v>46.0</v>
      </c>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10"/>
    </row>
    <row r="357">
      <c r="A357" s="21"/>
      <c r="B357" s="21"/>
      <c r="C357" s="21"/>
      <c r="D357" s="21"/>
      <c r="E357" s="18">
        <v>6.0</v>
      </c>
      <c r="F357" s="18">
        <v>51.0</v>
      </c>
      <c r="G357" s="21"/>
      <c r="H357" s="21"/>
      <c r="I357" s="21"/>
      <c r="J357" s="21"/>
      <c r="K357" s="21"/>
      <c r="L357" s="21"/>
      <c r="M357" s="21"/>
      <c r="N357" s="21"/>
      <c r="O357" s="21"/>
      <c r="P357" s="21"/>
      <c r="Q357" s="18">
        <v>39.0</v>
      </c>
      <c r="R357" s="21"/>
      <c r="S357" s="21"/>
      <c r="T357" s="18">
        <v>51.0</v>
      </c>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10"/>
    </row>
    <row r="358">
      <c r="A358" s="21"/>
      <c r="B358" s="21"/>
      <c r="C358" s="21"/>
      <c r="D358" s="21"/>
      <c r="E358" s="18">
        <v>7.0</v>
      </c>
      <c r="F358" s="18">
        <v>56.0</v>
      </c>
      <c r="G358" s="21"/>
      <c r="H358" s="21"/>
      <c r="I358" s="21"/>
      <c r="J358" s="21"/>
      <c r="K358" s="21"/>
      <c r="L358" s="21"/>
      <c r="M358" s="21"/>
      <c r="N358" s="21"/>
      <c r="O358" s="21"/>
      <c r="P358" s="21"/>
      <c r="Q358" s="18">
        <v>43.0</v>
      </c>
      <c r="R358" s="21"/>
      <c r="S358" s="21"/>
      <c r="T358" s="18">
        <v>56.0</v>
      </c>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10"/>
    </row>
    <row r="359">
      <c r="A359" s="21"/>
      <c r="B359" s="21"/>
      <c r="C359" s="21"/>
      <c r="D359" s="21"/>
      <c r="E359" s="18">
        <v>8.0</v>
      </c>
      <c r="F359" s="18">
        <v>61.0</v>
      </c>
      <c r="G359" s="21"/>
      <c r="H359" s="21"/>
      <c r="I359" s="21"/>
      <c r="J359" s="21"/>
      <c r="K359" s="21"/>
      <c r="L359" s="21"/>
      <c r="M359" s="21"/>
      <c r="N359" s="21"/>
      <c r="O359" s="21"/>
      <c r="P359" s="21"/>
      <c r="Q359" s="18">
        <v>46.0</v>
      </c>
      <c r="R359" s="21"/>
      <c r="S359" s="21"/>
      <c r="T359" s="18">
        <v>61.0</v>
      </c>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10"/>
    </row>
    <row r="360">
      <c r="A360" s="21"/>
      <c r="B360" s="21"/>
      <c r="C360" s="21"/>
      <c r="D360" s="21"/>
      <c r="E360" s="18">
        <v>9.0</v>
      </c>
      <c r="F360" s="18">
        <v>67.0</v>
      </c>
      <c r="G360" s="21"/>
      <c r="H360" s="21"/>
      <c r="I360" s="21"/>
      <c r="J360" s="21"/>
      <c r="K360" s="21"/>
      <c r="L360" s="21"/>
      <c r="M360" s="21"/>
      <c r="N360" s="21"/>
      <c r="O360" s="21"/>
      <c r="P360" s="21"/>
      <c r="Q360" s="18">
        <v>51.0</v>
      </c>
      <c r="R360" s="21"/>
      <c r="S360" s="21"/>
      <c r="T360" s="18">
        <v>67.0</v>
      </c>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10"/>
    </row>
    <row r="361">
      <c r="A361" s="21"/>
      <c r="B361" s="21"/>
      <c r="C361" s="21"/>
      <c r="D361" s="21"/>
      <c r="E361" s="18">
        <v>10.0</v>
      </c>
      <c r="F361" s="18">
        <v>74.0</v>
      </c>
      <c r="G361" s="21"/>
      <c r="H361" s="21"/>
      <c r="I361" s="21"/>
      <c r="J361" s="21"/>
      <c r="K361" s="21"/>
      <c r="L361" s="21"/>
      <c r="M361" s="21"/>
      <c r="N361" s="21"/>
      <c r="O361" s="21"/>
      <c r="P361" s="21"/>
      <c r="Q361" s="18">
        <v>56.0</v>
      </c>
      <c r="R361" s="21"/>
      <c r="S361" s="21"/>
      <c r="T361" s="18">
        <v>74.0</v>
      </c>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10"/>
    </row>
    <row r="362">
      <c r="A362" s="21"/>
      <c r="B362" s="21"/>
      <c r="C362" s="21"/>
      <c r="D362" s="21"/>
      <c r="E362" s="18">
        <v>11.0</v>
      </c>
      <c r="F362" s="18">
        <v>81.0</v>
      </c>
      <c r="G362" s="21"/>
      <c r="H362" s="21"/>
      <c r="I362" s="21"/>
      <c r="J362" s="21"/>
      <c r="K362" s="21"/>
      <c r="L362" s="21"/>
      <c r="M362" s="21"/>
      <c r="N362" s="21"/>
      <c r="O362" s="21"/>
      <c r="P362" s="21"/>
      <c r="Q362" s="18">
        <v>62.0</v>
      </c>
      <c r="R362" s="21"/>
      <c r="S362" s="21"/>
      <c r="T362" s="18">
        <v>81.0</v>
      </c>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10"/>
    </row>
    <row r="363">
      <c r="A363" s="21"/>
      <c r="B363" s="21"/>
      <c r="C363" s="21"/>
      <c r="D363" s="21"/>
      <c r="E363" s="18">
        <v>12.0</v>
      </c>
      <c r="F363" s="18">
        <v>89.0</v>
      </c>
      <c r="G363" s="21"/>
      <c r="H363" s="21"/>
      <c r="I363" s="21"/>
      <c r="J363" s="21"/>
      <c r="K363" s="21"/>
      <c r="L363" s="21"/>
      <c r="M363" s="21"/>
      <c r="N363" s="21"/>
      <c r="O363" s="21"/>
      <c r="P363" s="21"/>
      <c r="Q363" s="18">
        <v>68.0</v>
      </c>
      <c r="R363" s="21"/>
      <c r="S363" s="21"/>
      <c r="T363" s="18">
        <v>89.0</v>
      </c>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10"/>
    </row>
    <row r="364">
      <c r="A364" s="22"/>
      <c r="B364" s="22"/>
      <c r="C364" s="22"/>
      <c r="D364" s="22"/>
      <c r="E364" s="18">
        <v>13.0</v>
      </c>
      <c r="F364" s="18">
        <v>98.0</v>
      </c>
      <c r="G364" s="22"/>
      <c r="H364" s="22"/>
      <c r="I364" s="22"/>
      <c r="J364" s="22"/>
      <c r="K364" s="22"/>
      <c r="L364" s="22"/>
      <c r="M364" s="22"/>
      <c r="N364" s="22"/>
      <c r="O364" s="22"/>
      <c r="P364" s="22"/>
      <c r="Q364" s="18">
        <v>75.0</v>
      </c>
      <c r="R364" s="22"/>
      <c r="S364" s="22"/>
      <c r="T364" s="18">
        <v>98.0</v>
      </c>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10"/>
    </row>
    <row r="365">
      <c r="A365" s="16" t="s">
        <v>188</v>
      </c>
      <c r="B365" s="27" t="s">
        <v>101</v>
      </c>
      <c r="C365" s="16" t="s">
        <v>87</v>
      </c>
      <c r="D365" s="16">
        <v>4.0</v>
      </c>
      <c r="E365" s="18">
        <v>3.0</v>
      </c>
      <c r="F365" s="18">
        <v>150.0</v>
      </c>
      <c r="G365" s="16" t="s">
        <v>85</v>
      </c>
      <c r="H365" s="16" t="s">
        <v>85</v>
      </c>
      <c r="I365" s="16" t="s">
        <v>85</v>
      </c>
      <c r="J365" s="16" t="s">
        <v>85</v>
      </c>
      <c r="K365" s="16" t="s">
        <v>85</v>
      </c>
      <c r="L365" s="16" t="s">
        <v>85</v>
      </c>
      <c r="M365" s="16" t="s">
        <v>85</v>
      </c>
      <c r="N365" s="16" t="s">
        <v>85</v>
      </c>
      <c r="O365" s="16" t="s">
        <v>85</v>
      </c>
      <c r="P365" s="16" t="s">
        <v>85</v>
      </c>
      <c r="Q365" s="18">
        <v>93.0</v>
      </c>
      <c r="R365" s="16" t="s">
        <v>85</v>
      </c>
      <c r="S365" s="16" t="s">
        <v>85</v>
      </c>
      <c r="T365" s="18">
        <v>800.0</v>
      </c>
      <c r="U365" s="16" t="s">
        <v>85</v>
      </c>
      <c r="V365" s="16" t="s">
        <v>85</v>
      </c>
      <c r="W365" s="16" t="s">
        <v>85</v>
      </c>
      <c r="X365" s="16" t="s">
        <v>85</v>
      </c>
      <c r="Y365" s="16" t="s">
        <v>85</v>
      </c>
      <c r="Z365" s="16" t="s">
        <v>85</v>
      </c>
      <c r="AA365" s="16" t="s">
        <v>85</v>
      </c>
      <c r="AB365" s="16" t="s">
        <v>85</v>
      </c>
      <c r="AC365" s="16" t="s">
        <v>85</v>
      </c>
      <c r="AD365" s="16" t="s">
        <v>85</v>
      </c>
      <c r="AE365" s="16" t="s">
        <v>143</v>
      </c>
      <c r="AF365" s="16" t="s">
        <v>109</v>
      </c>
      <c r="AG365" s="16" t="s">
        <v>114</v>
      </c>
      <c r="AH365" s="16" t="s">
        <v>85</v>
      </c>
      <c r="AI365" s="16" t="s">
        <v>104</v>
      </c>
      <c r="AJ365" s="16" t="s">
        <v>85</v>
      </c>
      <c r="AK365" s="16" t="s">
        <v>85</v>
      </c>
      <c r="AL365" s="16" t="s">
        <v>85</v>
      </c>
      <c r="AM365" s="16" t="s">
        <v>85</v>
      </c>
      <c r="AN365" s="16" t="s">
        <v>85</v>
      </c>
      <c r="AO365" s="16" t="s">
        <v>85</v>
      </c>
      <c r="AP365" s="16" t="s">
        <v>85</v>
      </c>
      <c r="AQ365" s="16" t="s">
        <v>85</v>
      </c>
      <c r="AR365" s="16" t="s">
        <v>85</v>
      </c>
      <c r="AS365" s="16" t="s">
        <v>85</v>
      </c>
      <c r="AT365" s="16" t="s">
        <v>85</v>
      </c>
      <c r="AU365" s="16" t="s">
        <v>85</v>
      </c>
      <c r="AV365" s="16" t="s">
        <v>85</v>
      </c>
      <c r="AW365" s="16" t="s">
        <v>85</v>
      </c>
      <c r="AX365" s="16" t="s">
        <v>85</v>
      </c>
      <c r="AY365" s="16" t="s">
        <v>85</v>
      </c>
      <c r="AZ365" s="16" t="s">
        <v>85</v>
      </c>
      <c r="BA365" s="16" t="s">
        <v>85</v>
      </c>
      <c r="BB365" s="16" t="s">
        <v>85</v>
      </c>
      <c r="BC365" s="16" t="s">
        <v>85</v>
      </c>
      <c r="BD365" s="16" t="s">
        <v>85</v>
      </c>
      <c r="BE365" s="16" t="s">
        <v>85</v>
      </c>
      <c r="BF365" s="16" t="s">
        <v>85</v>
      </c>
      <c r="BG365" s="16" t="s">
        <v>85</v>
      </c>
      <c r="BH365" s="16" t="s">
        <v>85</v>
      </c>
      <c r="BI365" s="16" t="s">
        <v>85</v>
      </c>
      <c r="BJ365" s="16" t="s">
        <v>85</v>
      </c>
      <c r="BK365" s="10"/>
    </row>
    <row r="366">
      <c r="A366" s="21"/>
      <c r="B366" s="21"/>
      <c r="C366" s="21"/>
      <c r="D366" s="21"/>
      <c r="E366" s="18">
        <v>4.0</v>
      </c>
      <c r="F366" s="18">
        <v>165.0</v>
      </c>
      <c r="G366" s="21"/>
      <c r="H366" s="21"/>
      <c r="I366" s="21"/>
      <c r="J366" s="21"/>
      <c r="K366" s="21"/>
      <c r="L366" s="21"/>
      <c r="M366" s="21"/>
      <c r="N366" s="21"/>
      <c r="O366" s="21"/>
      <c r="P366" s="21"/>
      <c r="Q366" s="18">
        <v>103.0</v>
      </c>
      <c r="R366" s="21"/>
      <c r="S366" s="21"/>
      <c r="T366" s="18">
        <v>880.0</v>
      </c>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10"/>
    </row>
    <row r="367">
      <c r="A367" s="21"/>
      <c r="B367" s="21"/>
      <c r="C367" s="21"/>
      <c r="D367" s="21"/>
      <c r="E367" s="18">
        <v>5.0</v>
      </c>
      <c r="F367" s="18">
        <v>181.0</v>
      </c>
      <c r="G367" s="21"/>
      <c r="H367" s="21"/>
      <c r="I367" s="21"/>
      <c r="J367" s="21"/>
      <c r="K367" s="21"/>
      <c r="L367" s="21"/>
      <c r="M367" s="21"/>
      <c r="N367" s="21"/>
      <c r="O367" s="21"/>
      <c r="P367" s="21"/>
      <c r="Q367" s="18">
        <v>113.0</v>
      </c>
      <c r="R367" s="21"/>
      <c r="S367" s="21"/>
      <c r="T367" s="18">
        <v>968.0</v>
      </c>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10"/>
    </row>
    <row r="368">
      <c r="A368" s="21"/>
      <c r="B368" s="21"/>
      <c r="C368" s="21"/>
      <c r="D368" s="21"/>
      <c r="E368" s="18">
        <v>6.0</v>
      </c>
      <c r="F368" s="18">
        <v>199.0</v>
      </c>
      <c r="G368" s="21"/>
      <c r="H368" s="21"/>
      <c r="I368" s="21"/>
      <c r="J368" s="21"/>
      <c r="K368" s="21"/>
      <c r="L368" s="21"/>
      <c r="M368" s="21"/>
      <c r="N368" s="21"/>
      <c r="O368" s="21"/>
      <c r="P368" s="21"/>
      <c r="Q368" s="18">
        <v>124.0</v>
      </c>
      <c r="R368" s="21"/>
      <c r="S368" s="21"/>
      <c r="T368" s="18">
        <v>1064.0</v>
      </c>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10"/>
    </row>
    <row r="369">
      <c r="A369" s="21"/>
      <c r="B369" s="21"/>
      <c r="C369" s="21"/>
      <c r="D369" s="21"/>
      <c r="E369" s="18">
        <v>7.0</v>
      </c>
      <c r="F369" s="18">
        <v>219.0</v>
      </c>
      <c r="G369" s="21"/>
      <c r="H369" s="21"/>
      <c r="I369" s="21"/>
      <c r="J369" s="21"/>
      <c r="K369" s="21"/>
      <c r="L369" s="21"/>
      <c r="M369" s="21"/>
      <c r="N369" s="21"/>
      <c r="O369" s="21"/>
      <c r="P369" s="21"/>
      <c r="Q369" s="18">
        <v>136.0</v>
      </c>
      <c r="R369" s="21"/>
      <c r="S369" s="21"/>
      <c r="T369" s="18">
        <v>1168.0</v>
      </c>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10"/>
    </row>
    <row r="370">
      <c r="A370" s="21"/>
      <c r="B370" s="21"/>
      <c r="C370" s="21"/>
      <c r="D370" s="21"/>
      <c r="E370" s="18">
        <v>8.0</v>
      </c>
      <c r="F370" s="18">
        <v>240.0</v>
      </c>
      <c r="G370" s="21"/>
      <c r="H370" s="21"/>
      <c r="I370" s="21"/>
      <c r="J370" s="21"/>
      <c r="K370" s="21"/>
      <c r="L370" s="21"/>
      <c r="M370" s="21"/>
      <c r="N370" s="21"/>
      <c r="O370" s="21"/>
      <c r="P370" s="21"/>
      <c r="Q370" s="18">
        <v>150.0</v>
      </c>
      <c r="R370" s="21"/>
      <c r="S370" s="21"/>
      <c r="T370" s="18">
        <v>1280.0</v>
      </c>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10"/>
    </row>
    <row r="371">
      <c r="A371" s="21"/>
      <c r="B371" s="21"/>
      <c r="C371" s="21"/>
      <c r="D371" s="21"/>
      <c r="E371" s="18">
        <v>9.0</v>
      </c>
      <c r="F371" s="18">
        <v>264.0</v>
      </c>
      <c r="G371" s="21"/>
      <c r="H371" s="21"/>
      <c r="I371" s="21"/>
      <c r="J371" s="21"/>
      <c r="K371" s="21"/>
      <c r="L371" s="21"/>
      <c r="M371" s="21"/>
      <c r="N371" s="21"/>
      <c r="O371" s="21"/>
      <c r="P371" s="21"/>
      <c r="Q371" s="18">
        <v>165.0</v>
      </c>
      <c r="R371" s="21"/>
      <c r="S371" s="21"/>
      <c r="T371" s="18">
        <v>1408.0</v>
      </c>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10"/>
    </row>
    <row r="372">
      <c r="A372" s="21"/>
      <c r="B372" s="21"/>
      <c r="C372" s="21"/>
      <c r="D372" s="21"/>
      <c r="E372" s="18">
        <v>10.0</v>
      </c>
      <c r="F372" s="18">
        <v>289.0</v>
      </c>
      <c r="G372" s="21"/>
      <c r="H372" s="21"/>
      <c r="I372" s="21"/>
      <c r="J372" s="21"/>
      <c r="K372" s="21"/>
      <c r="L372" s="21"/>
      <c r="M372" s="21"/>
      <c r="N372" s="21"/>
      <c r="O372" s="21"/>
      <c r="P372" s="21"/>
      <c r="Q372" s="18">
        <v>180.0</v>
      </c>
      <c r="R372" s="21"/>
      <c r="S372" s="21"/>
      <c r="T372" s="18">
        <v>1544.0</v>
      </c>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10"/>
    </row>
    <row r="373">
      <c r="A373" s="21"/>
      <c r="B373" s="21"/>
      <c r="C373" s="21"/>
      <c r="D373" s="21"/>
      <c r="E373" s="18">
        <v>11.0</v>
      </c>
      <c r="F373" s="18">
        <v>318.0</v>
      </c>
      <c r="G373" s="21"/>
      <c r="H373" s="21"/>
      <c r="I373" s="21"/>
      <c r="J373" s="21"/>
      <c r="K373" s="21"/>
      <c r="L373" s="21"/>
      <c r="M373" s="21"/>
      <c r="N373" s="21"/>
      <c r="O373" s="21"/>
      <c r="P373" s="21"/>
      <c r="Q373" s="18">
        <v>198.0</v>
      </c>
      <c r="R373" s="21"/>
      <c r="S373" s="21"/>
      <c r="T373" s="18">
        <v>1696.0</v>
      </c>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10"/>
    </row>
    <row r="374">
      <c r="A374" s="21"/>
      <c r="B374" s="21"/>
      <c r="C374" s="21"/>
      <c r="D374" s="21"/>
      <c r="E374" s="18">
        <v>12.0</v>
      </c>
      <c r="F374" s="18">
        <v>349.0</v>
      </c>
      <c r="G374" s="21"/>
      <c r="H374" s="21"/>
      <c r="I374" s="21"/>
      <c r="J374" s="21"/>
      <c r="K374" s="21"/>
      <c r="L374" s="21"/>
      <c r="M374" s="21"/>
      <c r="N374" s="21"/>
      <c r="O374" s="21"/>
      <c r="P374" s="21"/>
      <c r="Q374" s="18">
        <v>218.0</v>
      </c>
      <c r="R374" s="21"/>
      <c r="S374" s="21"/>
      <c r="T374" s="18">
        <v>1864.0</v>
      </c>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10"/>
    </row>
    <row r="375">
      <c r="A375" s="22"/>
      <c r="B375" s="22"/>
      <c r="C375" s="22"/>
      <c r="D375" s="22"/>
      <c r="E375" s="18">
        <v>13.0</v>
      </c>
      <c r="F375" s="18">
        <v>384.0</v>
      </c>
      <c r="G375" s="22"/>
      <c r="H375" s="22"/>
      <c r="I375" s="22"/>
      <c r="J375" s="22"/>
      <c r="K375" s="22"/>
      <c r="L375" s="22"/>
      <c r="M375" s="22"/>
      <c r="N375" s="22"/>
      <c r="O375" s="22"/>
      <c r="P375" s="22"/>
      <c r="Q375" s="18">
        <v>240.0</v>
      </c>
      <c r="R375" s="22"/>
      <c r="S375" s="22"/>
      <c r="T375" s="18">
        <v>2048.0</v>
      </c>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10"/>
    </row>
    <row r="376">
      <c r="A376" s="16" t="s">
        <v>189</v>
      </c>
      <c r="B376" s="30" t="s">
        <v>131</v>
      </c>
      <c r="C376" s="16" t="s">
        <v>87</v>
      </c>
      <c r="D376" s="16">
        <v>2.0</v>
      </c>
      <c r="E376" s="18">
        <v>6.0</v>
      </c>
      <c r="F376" s="16" t="s">
        <v>85</v>
      </c>
      <c r="G376" s="18">
        <v>245.0</v>
      </c>
      <c r="H376" s="16" t="s">
        <v>85</v>
      </c>
      <c r="I376" s="16" t="s">
        <v>85</v>
      </c>
      <c r="J376" s="16" t="s">
        <v>85</v>
      </c>
      <c r="K376" s="16" t="s">
        <v>85</v>
      </c>
      <c r="L376" s="16" t="s">
        <v>85</v>
      </c>
      <c r="M376" s="16" t="s">
        <v>85</v>
      </c>
      <c r="N376" s="16" t="s">
        <v>85</v>
      </c>
      <c r="O376" s="16" t="s">
        <v>85</v>
      </c>
      <c r="P376" s="16" t="s">
        <v>85</v>
      </c>
      <c r="Q376" s="16" t="s">
        <v>85</v>
      </c>
      <c r="R376" s="16" t="s">
        <v>85</v>
      </c>
      <c r="S376" s="16" t="s">
        <v>85</v>
      </c>
      <c r="T376" s="18">
        <v>207.0</v>
      </c>
      <c r="U376" s="16" t="s">
        <v>85</v>
      </c>
      <c r="V376" s="16" t="s">
        <v>85</v>
      </c>
      <c r="W376" s="16" t="s">
        <v>85</v>
      </c>
      <c r="X376" s="16" t="s">
        <v>85</v>
      </c>
      <c r="Y376" s="16" t="s">
        <v>85</v>
      </c>
      <c r="Z376" s="16" t="s">
        <v>85</v>
      </c>
      <c r="AA376" s="16" t="s">
        <v>85</v>
      </c>
      <c r="AB376" s="16" t="s">
        <v>85</v>
      </c>
      <c r="AC376" s="16" t="s">
        <v>85</v>
      </c>
      <c r="AD376" s="16" t="s">
        <v>85</v>
      </c>
      <c r="AE376" s="16" t="s">
        <v>85</v>
      </c>
      <c r="AF376" s="16" t="s">
        <v>109</v>
      </c>
      <c r="AG376" s="16" t="s">
        <v>114</v>
      </c>
      <c r="AH376" s="16" t="s">
        <v>85</v>
      </c>
      <c r="AI376" s="16" t="s">
        <v>104</v>
      </c>
      <c r="AJ376" s="16" t="s">
        <v>85</v>
      </c>
      <c r="AK376" s="16" t="s">
        <v>85</v>
      </c>
      <c r="AL376" s="16" t="s">
        <v>85</v>
      </c>
      <c r="AM376" s="16" t="s">
        <v>96</v>
      </c>
      <c r="AN376" s="16" t="s">
        <v>85</v>
      </c>
      <c r="AO376" s="16" t="s">
        <v>85</v>
      </c>
      <c r="AP376" s="16" t="s">
        <v>85</v>
      </c>
      <c r="AQ376" s="16" t="s">
        <v>85</v>
      </c>
      <c r="AR376" s="16" t="s">
        <v>85</v>
      </c>
      <c r="AS376" s="16" t="s">
        <v>85</v>
      </c>
      <c r="AT376" s="16" t="s">
        <v>85</v>
      </c>
      <c r="AU376" s="16" t="s">
        <v>85</v>
      </c>
      <c r="AV376" s="16" t="s">
        <v>85</v>
      </c>
      <c r="AW376" s="16" t="s">
        <v>85</v>
      </c>
      <c r="AX376" s="16" t="s">
        <v>85</v>
      </c>
      <c r="AY376" s="16" t="s">
        <v>85</v>
      </c>
      <c r="AZ376" s="16" t="s">
        <v>85</v>
      </c>
      <c r="BA376" s="16" t="s">
        <v>85</v>
      </c>
      <c r="BB376" s="16" t="s">
        <v>85</v>
      </c>
      <c r="BC376" s="16" t="s">
        <v>85</v>
      </c>
      <c r="BD376" s="16" t="s">
        <v>85</v>
      </c>
      <c r="BE376" s="16" t="s">
        <v>85</v>
      </c>
      <c r="BF376" s="16" t="s">
        <v>85</v>
      </c>
      <c r="BG376" s="16" t="s">
        <v>85</v>
      </c>
      <c r="BH376" s="16" t="s">
        <v>85</v>
      </c>
      <c r="BI376" s="16" t="s">
        <v>85</v>
      </c>
      <c r="BJ376" s="16" t="s">
        <v>85</v>
      </c>
      <c r="BK376" s="20"/>
    </row>
    <row r="377">
      <c r="A377" s="21"/>
      <c r="B377" s="21"/>
      <c r="C377" s="21"/>
      <c r="D377" s="21"/>
      <c r="E377" s="18">
        <v>7.0</v>
      </c>
      <c r="F377" s="21"/>
      <c r="G377" s="19">
        <v>269.0</v>
      </c>
      <c r="H377" s="21"/>
      <c r="I377" s="21"/>
      <c r="J377" s="21"/>
      <c r="K377" s="21"/>
      <c r="L377" s="21"/>
      <c r="M377" s="21"/>
      <c r="N377" s="21"/>
      <c r="O377" s="21"/>
      <c r="P377" s="21"/>
      <c r="Q377" s="21"/>
      <c r="R377" s="21"/>
      <c r="S377" s="21"/>
      <c r="T377" s="19">
        <v>227.0</v>
      </c>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0"/>
    </row>
    <row r="378">
      <c r="A378" s="21"/>
      <c r="B378" s="21"/>
      <c r="C378" s="21"/>
      <c r="D378" s="21"/>
      <c r="E378" s="18">
        <v>8.0</v>
      </c>
      <c r="F378" s="21"/>
      <c r="G378" s="19">
        <v>296.0</v>
      </c>
      <c r="H378" s="21"/>
      <c r="I378" s="21"/>
      <c r="J378" s="21"/>
      <c r="K378" s="21"/>
      <c r="L378" s="21"/>
      <c r="M378" s="21"/>
      <c r="N378" s="21"/>
      <c r="O378" s="21"/>
      <c r="P378" s="21"/>
      <c r="Q378" s="21"/>
      <c r="R378" s="21"/>
      <c r="S378" s="21"/>
      <c r="T378" s="19">
        <v>250.0</v>
      </c>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0"/>
    </row>
    <row r="379">
      <c r="A379" s="21"/>
      <c r="B379" s="21"/>
      <c r="C379" s="21"/>
      <c r="D379" s="21"/>
      <c r="E379" s="18">
        <v>9.0</v>
      </c>
      <c r="F379" s="21"/>
      <c r="G379" s="19">
        <v>325.0</v>
      </c>
      <c r="H379" s="21"/>
      <c r="I379" s="21"/>
      <c r="J379" s="21"/>
      <c r="K379" s="21"/>
      <c r="L379" s="21"/>
      <c r="M379" s="21"/>
      <c r="N379" s="21"/>
      <c r="O379" s="21"/>
      <c r="P379" s="21"/>
      <c r="Q379" s="21"/>
      <c r="R379" s="21"/>
      <c r="S379" s="21"/>
      <c r="T379" s="19">
        <v>275.0</v>
      </c>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0"/>
    </row>
    <row r="380">
      <c r="A380" s="21"/>
      <c r="B380" s="21"/>
      <c r="C380" s="21"/>
      <c r="D380" s="21"/>
      <c r="E380" s="18">
        <v>10.0</v>
      </c>
      <c r="F380" s="21"/>
      <c r="G380" s="19">
        <v>357.0</v>
      </c>
      <c r="H380" s="21"/>
      <c r="I380" s="21"/>
      <c r="J380" s="21"/>
      <c r="K380" s="21"/>
      <c r="L380" s="21"/>
      <c r="M380" s="21"/>
      <c r="N380" s="21"/>
      <c r="O380" s="21"/>
      <c r="P380" s="21"/>
      <c r="Q380" s="21"/>
      <c r="R380" s="21"/>
      <c r="S380" s="21"/>
      <c r="T380" s="19">
        <v>302.0</v>
      </c>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0"/>
    </row>
    <row r="381">
      <c r="A381" s="21"/>
      <c r="B381" s="21"/>
      <c r="C381" s="21"/>
      <c r="D381" s="21"/>
      <c r="E381" s="18">
        <v>11.0</v>
      </c>
      <c r="F381" s="21"/>
      <c r="G381" s="19">
        <v>392.0</v>
      </c>
      <c r="H381" s="21"/>
      <c r="I381" s="21"/>
      <c r="J381" s="21"/>
      <c r="K381" s="21"/>
      <c r="L381" s="21"/>
      <c r="M381" s="21"/>
      <c r="N381" s="21"/>
      <c r="O381" s="21"/>
      <c r="P381" s="21"/>
      <c r="Q381" s="21"/>
      <c r="R381" s="21"/>
      <c r="S381" s="21"/>
      <c r="T381" s="19">
        <v>331.0</v>
      </c>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0"/>
    </row>
    <row r="382">
      <c r="A382" s="21"/>
      <c r="B382" s="21"/>
      <c r="C382" s="21"/>
      <c r="D382" s="21"/>
      <c r="E382" s="18">
        <v>12.0</v>
      </c>
      <c r="F382" s="21"/>
      <c r="G382" s="19">
        <v>431.0</v>
      </c>
      <c r="H382" s="21"/>
      <c r="I382" s="21"/>
      <c r="J382" s="21"/>
      <c r="K382" s="21"/>
      <c r="L382" s="21"/>
      <c r="M382" s="21"/>
      <c r="N382" s="21"/>
      <c r="O382" s="21"/>
      <c r="P382" s="21"/>
      <c r="Q382" s="21"/>
      <c r="R382" s="21"/>
      <c r="S382" s="21"/>
      <c r="T382" s="19">
        <v>364.0</v>
      </c>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0"/>
    </row>
    <row r="383">
      <c r="A383" s="22"/>
      <c r="B383" s="22"/>
      <c r="C383" s="22"/>
      <c r="D383" s="22"/>
      <c r="E383" s="18">
        <v>13.0</v>
      </c>
      <c r="F383" s="22"/>
      <c r="G383" s="19">
        <v>472.0</v>
      </c>
      <c r="H383" s="22"/>
      <c r="I383" s="22"/>
      <c r="J383" s="22"/>
      <c r="K383" s="22"/>
      <c r="L383" s="22"/>
      <c r="M383" s="22"/>
      <c r="N383" s="22"/>
      <c r="O383" s="22"/>
      <c r="P383" s="22"/>
      <c r="Q383" s="22"/>
      <c r="R383" s="22"/>
      <c r="S383" s="22"/>
      <c r="T383" s="19">
        <v>399.0</v>
      </c>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0"/>
    </row>
    <row r="384">
      <c r="A384" s="16" t="s">
        <v>190</v>
      </c>
      <c r="B384" s="30" t="s">
        <v>131</v>
      </c>
      <c r="C384" s="16" t="s">
        <v>87</v>
      </c>
      <c r="D384" s="16">
        <v>5.0</v>
      </c>
      <c r="E384" s="18">
        <v>6.0</v>
      </c>
      <c r="F384" s="16" t="s">
        <v>85</v>
      </c>
      <c r="G384" s="18">
        <v>84.0</v>
      </c>
      <c r="H384" s="16" t="s">
        <v>85</v>
      </c>
      <c r="I384" s="16" t="s">
        <v>85</v>
      </c>
      <c r="J384" s="16" t="s">
        <v>85</v>
      </c>
      <c r="K384" s="16" t="s">
        <v>85</v>
      </c>
      <c r="L384" s="16" t="s">
        <v>85</v>
      </c>
      <c r="M384" s="16" t="s">
        <v>85</v>
      </c>
      <c r="N384" s="16" t="s">
        <v>85</v>
      </c>
      <c r="O384" s="16" t="s">
        <v>85</v>
      </c>
      <c r="P384" s="16" t="s">
        <v>85</v>
      </c>
      <c r="Q384" s="19">
        <v>76.0</v>
      </c>
      <c r="R384" s="16" t="s">
        <v>85</v>
      </c>
      <c r="S384" s="16" t="s">
        <v>85</v>
      </c>
      <c r="T384" s="18">
        <v>524.0</v>
      </c>
      <c r="U384" s="16" t="s">
        <v>85</v>
      </c>
      <c r="V384" s="16" t="s">
        <v>85</v>
      </c>
      <c r="W384" s="16" t="s">
        <v>125</v>
      </c>
      <c r="X384" s="18">
        <v>6.0</v>
      </c>
      <c r="Y384" s="16" t="s">
        <v>85</v>
      </c>
      <c r="Z384" s="16" t="s">
        <v>85</v>
      </c>
      <c r="AA384" s="16" t="s">
        <v>85</v>
      </c>
      <c r="AB384" s="16" t="s">
        <v>85</v>
      </c>
      <c r="AC384" s="16" t="s">
        <v>191</v>
      </c>
      <c r="AD384" s="16" t="s">
        <v>85</v>
      </c>
      <c r="AE384" s="16" t="s">
        <v>106</v>
      </c>
      <c r="AF384" s="16" t="s">
        <v>89</v>
      </c>
      <c r="AG384" s="16" t="s">
        <v>95</v>
      </c>
      <c r="AH384" s="16" t="s">
        <v>85</v>
      </c>
      <c r="AI384" s="16">
        <v>5.5</v>
      </c>
      <c r="AJ384" s="16" t="s">
        <v>85</v>
      </c>
      <c r="AK384" s="16" t="s">
        <v>85</v>
      </c>
      <c r="AL384" s="16" t="s">
        <v>85</v>
      </c>
      <c r="AM384" s="16" t="s">
        <v>85</v>
      </c>
      <c r="AN384" s="16" t="s">
        <v>85</v>
      </c>
      <c r="AO384" s="16" t="s">
        <v>85</v>
      </c>
      <c r="AP384" s="16" t="s">
        <v>85</v>
      </c>
      <c r="AQ384" s="16" t="s">
        <v>85</v>
      </c>
      <c r="AR384" s="16" t="s">
        <v>85</v>
      </c>
      <c r="AS384" s="16" t="s">
        <v>85</v>
      </c>
      <c r="AT384" s="16" t="s">
        <v>85</v>
      </c>
      <c r="AU384" s="16" t="s">
        <v>85</v>
      </c>
      <c r="AV384" s="16" t="s">
        <v>85</v>
      </c>
      <c r="AW384" s="16" t="s">
        <v>85</v>
      </c>
      <c r="AX384" s="16" t="s">
        <v>85</v>
      </c>
      <c r="AY384" s="16" t="s">
        <v>85</v>
      </c>
      <c r="AZ384" s="16" t="s">
        <v>85</v>
      </c>
      <c r="BA384" s="16" t="s">
        <v>85</v>
      </c>
      <c r="BB384" s="16" t="s">
        <v>85</v>
      </c>
      <c r="BC384" s="16" t="s">
        <v>85</v>
      </c>
      <c r="BD384" s="16" t="s">
        <v>85</v>
      </c>
      <c r="BE384" s="16" t="s">
        <v>85</v>
      </c>
      <c r="BF384" s="16" t="s">
        <v>85</v>
      </c>
      <c r="BG384" s="16" t="s">
        <v>85</v>
      </c>
      <c r="BH384" s="16" t="s">
        <v>85</v>
      </c>
      <c r="BI384" s="16" t="s">
        <v>85</v>
      </c>
      <c r="BJ384" s="16" t="s">
        <v>85</v>
      </c>
      <c r="BK384" s="20"/>
    </row>
    <row r="385">
      <c r="A385" s="21"/>
      <c r="B385" s="21"/>
      <c r="C385" s="21"/>
      <c r="D385" s="21"/>
      <c r="E385" s="18">
        <v>7.0</v>
      </c>
      <c r="F385" s="21"/>
      <c r="G385" s="19">
        <v>92.0</v>
      </c>
      <c r="H385" s="21"/>
      <c r="I385" s="21"/>
      <c r="J385" s="21"/>
      <c r="K385" s="21"/>
      <c r="L385" s="21"/>
      <c r="M385" s="21"/>
      <c r="N385" s="21"/>
      <c r="O385" s="21"/>
      <c r="P385" s="21"/>
      <c r="Q385" s="19">
        <v>83.0</v>
      </c>
      <c r="R385" s="21"/>
      <c r="S385" s="21"/>
      <c r="T385" s="19">
        <v>576.0</v>
      </c>
      <c r="U385" s="21"/>
      <c r="V385" s="21"/>
      <c r="W385" s="21"/>
      <c r="X385" s="18">
        <v>7.0</v>
      </c>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4"/>
    </row>
    <row r="386">
      <c r="A386" s="21"/>
      <c r="B386" s="21"/>
      <c r="C386" s="21"/>
      <c r="D386" s="21"/>
      <c r="E386" s="18">
        <v>8.0</v>
      </c>
      <c r="F386" s="21"/>
      <c r="G386" s="19">
        <v>101.0</v>
      </c>
      <c r="H386" s="21"/>
      <c r="I386" s="21"/>
      <c r="J386" s="21"/>
      <c r="K386" s="21"/>
      <c r="L386" s="21"/>
      <c r="M386" s="21"/>
      <c r="N386" s="21"/>
      <c r="O386" s="21"/>
      <c r="P386" s="21"/>
      <c r="Q386" s="19">
        <v>91.0</v>
      </c>
      <c r="R386" s="21"/>
      <c r="S386" s="21"/>
      <c r="T386" s="19">
        <v>634.0</v>
      </c>
      <c r="U386" s="21"/>
      <c r="V386" s="21"/>
      <c r="W386" s="21"/>
      <c r="X386" s="18">
        <v>8.0</v>
      </c>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4"/>
    </row>
    <row r="387">
      <c r="A387" s="21"/>
      <c r="B387" s="21"/>
      <c r="C387" s="21"/>
      <c r="D387" s="21"/>
      <c r="E387" s="18">
        <v>9.0</v>
      </c>
      <c r="F387" s="21"/>
      <c r="G387" s="19">
        <v>111.0</v>
      </c>
      <c r="H387" s="21"/>
      <c r="I387" s="21"/>
      <c r="J387" s="21"/>
      <c r="K387" s="21"/>
      <c r="L387" s="21"/>
      <c r="M387" s="21"/>
      <c r="N387" s="21"/>
      <c r="O387" s="21"/>
      <c r="P387" s="21"/>
      <c r="Q387" s="19">
        <v>100.0</v>
      </c>
      <c r="R387" s="21"/>
      <c r="S387" s="21"/>
      <c r="T387" s="19">
        <v>696.0</v>
      </c>
      <c r="U387" s="21"/>
      <c r="V387" s="21"/>
      <c r="W387" s="21"/>
      <c r="X387" s="18">
        <v>9.0</v>
      </c>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4"/>
    </row>
    <row r="388">
      <c r="A388" s="21"/>
      <c r="B388" s="21"/>
      <c r="C388" s="21"/>
      <c r="D388" s="21"/>
      <c r="E388" s="18">
        <v>10.0</v>
      </c>
      <c r="F388" s="21"/>
      <c r="G388" s="19">
        <v>122.0</v>
      </c>
      <c r="H388" s="21"/>
      <c r="I388" s="21"/>
      <c r="J388" s="21"/>
      <c r="K388" s="21"/>
      <c r="L388" s="21"/>
      <c r="M388" s="21"/>
      <c r="N388" s="21"/>
      <c r="O388" s="21"/>
      <c r="P388" s="21"/>
      <c r="Q388" s="19">
        <v>110.0</v>
      </c>
      <c r="R388" s="21"/>
      <c r="S388" s="21"/>
      <c r="T388" s="19">
        <v>765.0</v>
      </c>
      <c r="U388" s="21"/>
      <c r="V388" s="21"/>
      <c r="W388" s="21"/>
      <c r="X388" s="18">
        <v>10.0</v>
      </c>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4"/>
    </row>
    <row r="389">
      <c r="A389" s="21"/>
      <c r="B389" s="21"/>
      <c r="C389" s="21"/>
      <c r="D389" s="21"/>
      <c r="E389" s="18">
        <v>11.0</v>
      </c>
      <c r="F389" s="21"/>
      <c r="G389" s="19">
        <v>134.0</v>
      </c>
      <c r="H389" s="21"/>
      <c r="I389" s="21"/>
      <c r="J389" s="21"/>
      <c r="K389" s="21"/>
      <c r="L389" s="21"/>
      <c r="M389" s="21"/>
      <c r="N389" s="21"/>
      <c r="O389" s="21"/>
      <c r="P389" s="21"/>
      <c r="Q389" s="19">
        <v>121.0</v>
      </c>
      <c r="R389" s="21"/>
      <c r="S389" s="21"/>
      <c r="T389" s="19">
        <v>838.0</v>
      </c>
      <c r="U389" s="21"/>
      <c r="V389" s="21"/>
      <c r="W389" s="21"/>
      <c r="X389" s="18">
        <v>11.0</v>
      </c>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4"/>
    </row>
    <row r="390">
      <c r="A390" s="21"/>
      <c r="B390" s="21"/>
      <c r="C390" s="21"/>
      <c r="D390" s="21"/>
      <c r="E390" s="18">
        <v>12.0</v>
      </c>
      <c r="F390" s="21"/>
      <c r="G390" s="19">
        <v>147.0</v>
      </c>
      <c r="H390" s="21"/>
      <c r="I390" s="21"/>
      <c r="J390" s="21"/>
      <c r="K390" s="21"/>
      <c r="L390" s="21"/>
      <c r="M390" s="21"/>
      <c r="N390" s="21"/>
      <c r="O390" s="21"/>
      <c r="P390" s="21"/>
      <c r="Q390" s="19">
        <v>133.0</v>
      </c>
      <c r="R390" s="21"/>
      <c r="S390" s="21"/>
      <c r="T390" s="19">
        <v>922.0</v>
      </c>
      <c r="U390" s="21"/>
      <c r="V390" s="21"/>
      <c r="W390" s="21"/>
      <c r="X390" s="18">
        <v>12.0</v>
      </c>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4"/>
    </row>
    <row r="391">
      <c r="A391" s="22"/>
      <c r="B391" s="22"/>
      <c r="C391" s="22"/>
      <c r="D391" s="22"/>
      <c r="E391" s="18">
        <v>13.0</v>
      </c>
      <c r="F391" s="22"/>
      <c r="G391" s="19">
        <v>162.0</v>
      </c>
      <c r="H391" s="22"/>
      <c r="I391" s="22"/>
      <c r="J391" s="22"/>
      <c r="K391" s="22"/>
      <c r="L391" s="22"/>
      <c r="M391" s="22"/>
      <c r="N391" s="22"/>
      <c r="O391" s="22"/>
      <c r="P391" s="22"/>
      <c r="Q391" s="19">
        <v>147.0</v>
      </c>
      <c r="R391" s="22"/>
      <c r="S391" s="22"/>
      <c r="T391" s="19">
        <v>1011.0</v>
      </c>
      <c r="U391" s="22"/>
      <c r="V391" s="22"/>
      <c r="W391" s="22"/>
      <c r="X391" s="18">
        <v>13.0</v>
      </c>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4"/>
    </row>
    <row r="392">
      <c r="A392" s="16" t="s">
        <v>192</v>
      </c>
      <c r="B392" s="35" t="s">
        <v>181</v>
      </c>
      <c r="C392" s="16" t="s">
        <v>87</v>
      </c>
      <c r="D392" s="16">
        <v>3.0</v>
      </c>
      <c r="E392" s="32">
        <v>9.0</v>
      </c>
      <c r="F392" s="16" t="s">
        <v>85</v>
      </c>
      <c r="G392" s="18">
        <v>140.0</v>
      </c>
      <c r="H392" s="16" t="s">
        <v>85</v>
      </c>
      <c r="I392" s="16" t="s">
        <v>85</v>
      </c>
      <c r="J392" s="16" t="s">
        <v>85</v>
      </c>
      <c r="K392" s="16" t="s">
        <v>85</v>
      </c>
      <c r="L392" s="16" t="s">
        <v>85</v>
      </c>
      <c r="M392" s="16" t="s">
        <v>85</v>
      </c>
      <c r="N392" s="16" t="s">
        <v>85</v>
      </c>
      <c r="O392" s="16" t="s">
        <v>85</v>
      </c>
      <c r="P392" s="16" t="s">
        <v>85</v>
      </c>
      <c r="Q392" s="18">
        <v>46.0</v>
      </c>
      <c r="R392" s="16" t="s">
        <v>85</v>
      </c>
      <c r="S392" s="16" t="s">
        <v>85</v>
      </c>
      <c r="T392" s="18">
        <v>216.0</v>
      </c>
      <c r="U392" s="16" t="s">
        <v>85</v>
      </c>
      <c r="V392" s="16" t="s">
        <v>85</v>
      </c>
      <c r="W392" s="16" t="s">
        <v>85</v>
      </c>
      <c r="X392" s="16" t="s">
        <v>85</v>
      </c>
      <c r="Y392" s="16" t="s">
        <v>85</v>
      </c>
      <c r="Z392" s="16" t="s">
        <v>85</v>
      </c>
      <c r="AA392" s="16" t="s">
        <v>85</v>
      </c>
      <c r="AB392" s="16" t="s">
        <v>85</v>
      </c>
      <c r="AC392" s="16" t="s">
        <v>85</v>
      </c>
      <c r="AD392" s="16" t="s">
        <v>85</v>
      </c>
      <c r="AE392" s="16" t="s">
        <v>193</v>
      </c>
      <c r="AF392" s="16" t="s">
        <v>89</v>
      </c>
      <c r="AG392" s="16" t="s">
        <v>95</v>
      </c>
      <c r="AH392" s="16" t="s">
        <v>85</v>
      </c>
      <c r="AI392" s="16">
        <v>9.0</v>
      </c>
      <c r="AJ392" s="16" t="s">
        <v>85</v>
      </c>
      <c r="AK392" s="16" t="s">
        <v>85</v>
      </c>
      <c r="AL392" s="16" t="s">
        <v>85</v>
      </c>
      <c r="AM392" s="16" t="s">
        <v>85</v>
      </c>
      <c r="AN392" s="16" t="s">
        <v>85</v>
      </c>
      <c r="AO392" s="16" t="s">
        <v>85</v>
      </c>
      <c r="AP392" s="16" t="s">
        <v>85</v>
      </c>
      <c r="AQ392" s="16" t="s">
        <v>85</v>
      </c>
      <c r="AR392" s="16" t="s">
        <v>85</v>
      </c>
      <c r="AS392" s="16" t="s">
        <v>85</v>
      </c>
      <c r="AT392" s="16" t="s">
        <v>85</v>
      </c>
      <c r="AU392" s="16" t="s">
        <v>85</v>
      </c>
      <c r="AV392" s="16" t="s">
        <v>85</v>
      </c>
      <c r="AW392" s="16" t="s">
        <v>85</v>
      </c>
      <c r="AX392" s="16" t="s">
        <v>85</v>
      </c>
      <c r="AY392" s="16" t="s">
        <v>85</v>
      </c>
      <c r="AZ392" s="16" t="s">
        <v>85</v>
      </c>
      <c r="BA392" s="16" t="s">
        <v>85</v>
      </c>
      <c r="BB392" s="16" t="s">
        <v>85</v>
      </c>
      <c r="BC392" s="16" t="s">
        <v>85</v>
      </c>
      <c r="BD392" s="16" t="s">
        <v>85</v>
      </c>
      <c r="BE392" s="16" t="s">
        <v>85</v>
      </c>
      <c r="BF392" s="16" t="s">
        <v>85</v>
      </c>
      <c r="BG392" s="16" t="s">
        <v>85</v>
      </c>
      <c r="BH392" s="16" t="s">
        <v>85</v>
      </c>
      <c r="BI392" s="16" t="s">
        <v>85</v>
      </c>
      <c r="BJ392" s="16" t="s">
        <v>85</v>
      </c>
      <c r="BK392" s="10"/>
    </row>
    <row r="393">
      <c r="A393" s="21"/>
      <c r="B393" s="21"/>
      <c r="C393" s="21"/>
      <c r="D393" s="21"/>
      <c r="E393" s="32">
        <v>10.0</v>
      </c>
      <c r="F393" s="21"/>
      <c r="G393" s="18">
        <v>154.0</v>
      </c>
      <c r="H393" s="21"/>
      <c r="I393" s="21"/>
      <c r="J393" s="21"/>
      <c r="K393" s="21"/>
      <c r="L393" s="21"/>
      <c r="M393" s="21"/>
      <c r="N393" s="21"/>
      <c r="O393" s="21"/>
      <c r="P393" s="21"/>
      <c r="Q393" s="18">
        <v>51.0</v>
      </c>
      <c r="R393" s="21"/>
      <c r="S393" s="21"/>
      <c r="T393" s="18">
        <v>237.0</v>
      </c>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10"/>
    </row>
    <row r="394">
      <c r="A394" s="21"/>
      <c r="B394" s="21"/>
      <c r="C394" s="21"/>
      <c r="D394" s="21"/>
      <c r="E394" s="32">
        <v>11.0</v>
      </c>
      <c r="F394" s="21"/>
      <c r="G394" s="18">
        <v>169.0</v>
      </c>
      <c r="H394" s="21"/>
      <c r="I394" s="21"/>
      <c r="J394" s="21"/>
      <c r="K394" s="21"/>
      <c r="L394" s="21"/>
      <c r="M394" s="21"/>
      <c r="N394" s="21"/>
      <c r="O394" s="21"/>
      <c r="P394" s="21"/>
      <c r="Q394" s="18">
        <v>56.0</v>
      </c>
      <c r="R394" s="21"/>
      <c r="S394" s="21"/>
      <c r="T394" s="18">
        <v>261.0</v>
      </c>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10"/>
    </row>
    <row r="395">
      <c r="A395" s="21"/>
      <c r="B395" s="21"/>
      <c r="C395" s="21"/>
      <c r="D395" s="21"/>
      <c r="E395" s="32">
        <v>12.0</v>
      </c>
      <c r="F395" s="21"/>
      <c r="G395" s="18">
        <v>186.0</v>
      </c>
      <c r="H395" s="21"/>
      <c r="I395" s="21"/>
      <c r="J395" s="21"/>
      <c r="K395" s="21"/>
      <c r="L395" s="21"/>
      <c r="M395" s="21"/>
      <c r="N395" s="21"/>
      <c r="O395" s="21"/>
      <c r="P395" s="21"/>
      <c r="Q395" s="18">
        <v>62.0</v>
      </c>
      <c r="R395" s="21"/>
      <c r="S395" s="21"/>
      <c r="T395" s="18">
        <v>287.0</v>
      </c>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10"/>
    </row>
    <row r="396">
      <c r="A396" s="22"/>
      <c r="B396" s="22"/>
      <c r="C396" s="22"/>
      <c r="D396" s="22"/>
      <c r="E396" s="32">
        <v>13.0</v>
      </c>
      <c r="F396" s="22"/>
      <c r="G396" s="18">
        <v>204.0</v>
      </c>
      <c r="H396" s="22"/>
      <c r="I396" s="22"/>
      <c r="J396" s="22"/>
      <c r="K396" s="22"/>
      <c r="L396" s="22"/>
      <c r="M396" s="22"/>
      <c r="N396" s="22"/>
      <c r="O396" s="22"/>
      <c r="P396" s="22"/>
      <c r="Q396" s="18">
        <v>68.0</v>
      </c>
      <c r="R396" s="22"/>
      <c r="S396" s="22"/>
      <c r="T396" s="18">
        <v>315.0</v>
      </c>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10"/>
    </row>
    <row r="397">
      <c r="A397" s="12" t="s">
        <v>194</v>
      </c>
      <c r="B397" s="13" t="s">
        <v>195</v>
      </c>
      <c r="C397" s="14"/>
      <c r="D397" s="14"/>
      <c r="E397" s="15"/>
      <c r="F397" s="29"/>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5"/>
      <c r="BK397" s="10"/>
    </row>
    <row r="398">
      <c r="A398" s="16" t="s">
        <v>196</v>
      </c>
      <c r="B398" s="17" t="s">
        <v>83</v>
      </c>
      <c r="C398" s="16" t="s">
        <v>117</v>
      </c>
      <c r="D398" s="16">
        <v>4.0</v>
      </c>
      <c r="E398" s="32">
        <v>1.0</v>
      </c>
      <c r="F398" s="16" t="s">
        <v>85</v>
      </c>
      <c r="G398" s="18">
        <v>104.0</v>
      </c>
      <c r="H398" s="16" t="s">
        <v>85</v>
      </c>
      <c r="I398" s="16" t="s">
        <v>85</v>
      </c>
      <c r="J398" s="16" t="s">
        <v>85</v>
      </c>
      <c r="K398" s="16" t="s">
        <v>85</v>
      </c>
      <c r="L398" s="16" t="s">
        <v>85</v>
      </c>
      <c r="M398" s="16" t="s">
        <v>85</v>
      </c>
      <c r="N398" s="16" t="s">
        <v>85</v>
      </c>
      <c r="O398" s="16" t="s">
        <v>85</v>
      </c>
      <c r="P398" s="16" t="s">
        <v>85</v>
      </c>
      <c r="Q398" s="19">
        <v>20.0</v>
      </c>
      <c r="R398" s="16" t="s">
        <v>85</v>
      </c>
      <c r="S398" s="16" t="s">
        <v>85</v>
      </c>
      <c r="T398" s="18">
        <v>575.0</v>
      </c>
      <c r="U398" s="16" t="s">
        <v>85</v>
      </c>
      <c r="V398" s="16" t="s">
        <v>85</v>
      </c>
      <c r="W398" s="16" t="s">
        <v>85</v>
      </c>
      <c r="X398" s="16" t="s">
        <v>85</v>
      </c>
      <c r="Y398" s="16" t="s">
        <v>85</v>
      </c>
      <c r="Z398" s="16" t="s">
        <v>85</v>
      </c>
      <c r="AA398" s="16" t="s">
        <v>85</v>
      </c>
      <c r="AB398" s="16" t="s">
        <v>85</v>
      </c>
      <c r="AC398" s="16" t="s">
        <v>85</v>
      </c>
      <c r="AD398" s="16" t="s">
        <v>85</v>
      </c>
      <c r="AE398" s="16" t="s">
        <v>197</v>
      </c>
      <c r="AF398" s="16" t="s">
        <v>98</v>
      </c>
      <c r="AG398" s="16" t="s">
        <v>85</v>
      </c>
      <c r="AH398" s="16" t="s">
        <v>85</v>
      </c>
      <c r="AI398" s="16">
        <v>11.5</v>
      </c>
      <c r="AJ398" s="16" t="s">
        <v>85</v>
      </c>
      <c r="AK398" s="16" t="s">
        <v>198</v>
      </c>
      <c r="AL398" s="16" t="s">
        <v>138</v>
      </c>
      <c r="AM398" s="16" t="s">
        <v>85</v>
      </c>
      <c r="AN398" s="16" t="s">
        <v>85</v>
      </c>
      <c r="AO398" s="16" t="s">
        <v>85</v>
      </c>
      <c r="AP398" s="16" t="s">
        <v>85</v>
      </c>
      <c r="AQ398" s="16" t="s">
        <v>85</v>
      </c>
      <c r="AR398" s="16" t="s">
        <v>85</v>
      </c>
      <c r="AS398" s="16" t="s">
        <v>85</v>
      </c>
      <c r="AT398" s="16" t="s">
        <v>85</v>
      </c>
      <c r="AU398" s="16" t="s">
        <v>85</v>
      </c>
      <c r="AV398" s="16" t="s">
        <v>85</v>
      </c>
      <c r="AW398" s="16" t="s">
        <v>85</v>
      </c>
      <c r="AX398" s="16" t="s">
        <v>85</v>
      </c>
      <c r="AY398" s="16" t="s">
        <v>85</v>
      </c>
      <c r="AZ398" s="16" t="s">
        <v>85</v>
      </c>
      <c r="BA398" s="16" t="s">
        <v>85</v>
      </c>
      <c r="BB398" s="16" t="s">
        <v>85</v>
      </c>
      <c r="BC398" s="16" t="s">
        <v>85</v>
      </c>
      <c r="BD398" s="16" t="s">
        <v>85</v>
      </c>
      <c r="BE398" s="16" t="s">
        <v>85</v>
      </c>
      <c r="BF398" s="16" t="s">
        <v>85</v>
      </c>
      <c r="BG398" s="16" t="s">
        <v>85</v>
      </c>
      <c r="BH398" s="16" t="s">
        <v>85</v>
      </c>
      <c r="BI398" s="16" t="s">
        <v>85</v>
      </c>
      <c r="BJ398" s="16" t="s">
        <v>85</v>
      </c>
      <c r="BK398" s="10"/>
    </row>
    <row r="399">
      <c r="A399" s="21"/>
      <c r="B399" s="21"/>
      <c r="C399" s="21"/>
      <c r="D399" s="21"/>
      <c r="E399" s="32">
        <v>2.0</v>
      </c>
      <c r="F399" s="21"/>
      <c r="G399" s="19">
        <v>114.0</v>
      </c>
      <c r="H399" s="21"/>
      <c r="I399" s="21"/>
      <c r="J399" s="21"/>
      <c r="K399" s="21"/>
      <c r="L399" s="21"/>
      <c r="M399" s="21"/>
      <c r="N399" s="21"/>
      <c r="O399" s="21"/>
      <c r="P399" s="21"/>
      <c r="Q399" s="19">
        <v>22.0</v>
      </c>
      <c r="R399" s="21"/>
      <c r="S399" s="21"/>
      <c r="T399" s="19">
        <v>632.0</v>
      </c>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10"/>
    </row>
    <row r="400">
      <c r="A400" s="21"/>
      <c r="B400" s="21"/>
      <c r="C400" s="21"/>
      <c r="D400" s="21"/>
      <c r="E400" s="32">
        <v>3.0</v>
      </c>
      <c r="F400" s="21"/>
      <c r="G400" s="19">
        <v>125.0</v>
      </c>
      <c r="H400" s="21"/>
      <c r="I400" s="21"/>
      <c r="J400" s="21"/>
      <c r="K400" s="21"/>
      <c r="L400" s="21"/>
      <c r="M400" s="21"/>
      <c r="N400" s="21"/>
      <c r="O400" s="21"/>
      <c r="P400" s="21"/>
      <c r="Q400" s="19">
        <v>25.0</v>
      </c>
      <c r="R400" s="21"/>
      <c r="S400" s="21"/>
      <c r="T400" s="19">
        <v>695.0</v>
      </c>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10"/>
    </row>
    <row r="401">
      <c r="A401" s="21"/>
      <c r="B401" s="21"/>
      <c r="C401" s="21"/>
      <c r="D401" s="21"/>
      <c r="E401" s="32">
        <v>4.0</v>
      </c>
      <c r="F401" s="21"/>
      <c r="G401" s="19">
        <v>138.0</v>
      </c>
      <c r="H401" s="21"/>
      <c r="I401" s="21"/>
      <c r="J401" s="21"/>
      <c r="K401" s="21"/>
      <c r="L401" s="21"/>
      <c r="M401" s="21"/>
      <c r="N401" s="21"/>
      <c r="O401" s="21"/>
      <c r="P401" s="21"/>
      <c r="Q401" s="19">
        <v>27.0</v>
      </c>
      <c r="R401" s="21"/>
      <c r="S401" s="21"/>
      <c r="T401" s="19">
        <v>764.0</v>
      </c>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10"/>
    </row>
    <row r="402">
      <c r="A402" s="21"/>
      <c r="B402" s="21"/>
      <c r="C402" s="21"/>
      <c r="D402" s="21"/>
      <c r="E402" s="32">
        <v>5.0</v>
      </c>
      <c r="F402" s="21"/>
      <c r="G402" s="19">
        <v>151.0</v>
      </c>
      <c r="H402" s="21"/>
      <c r="I402" s="21"/>
      <c r="J402" s="21"/>
      <c r="K402" s="21"/>
      <c r="L402" s="21"/>
      <c r="M402" s="21"/>
      <c r="N402" s="21"/>
      <c r="O402" s="21"/>
      <c r="P402" s="21"/>
      <c r="Q402" s="19">
        <v>30.0</v>
      </c>
      <c r="R402" s="21"/>
      <c r="S402" s="21"/>
      <c r="T402" s="19">
        <v>839.0</v>
      </c>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10"/>
    </row>
    <row r="403">
      <c r="A403" s="21"/>
      <c r="B403" s="21"/>
      <c r="C403" s="21"/>
      <c r="D403" s="21"/>
      <c r="E403" s="32">
        <v>6.0</v>
      </c>
      <c r="F403" s="21"/>
      <c r="G403" s="19">
        <v>166.0</v>
      </c>
      <c r="H403" s="21"/>
      <c r="I403" s="21"/>
      <c r="J403" s="21"/>
      <c r="K403" s="21"/>
      <c r="L403" s="21"/>
      <c r="M403" s="21"/>
      <c r="N403" s="21"/>
      <c r="O403" s="21"/>
      <c r="P403" s="21"/>
      <c r="Q403" s="19">
        <v>33.0</v>
      </c>
      <c r="R403" s="21"/>
      <c r="S403" s="21"/>
      <c r="T403" s="19">
        <v>920.0</v>
      </c>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10"/>
    </row>
    <row r="404">
      <c r="A404" s="21"/>
      <c r="B404" s="21"/>
      <c r="C404" s="21"/>
      <c r="D404" s="21"/>
      <c r="E404" s="32">
        <v>7.0</v>
      </c>
      <c r="F404" s="21"/>
      <c r="G404" s="19">
        <v>183.0</v>
      </c>
      <c r="H404" s="21"/>
      <c r="I404" s="21"/>
      <c r="J404" s="21"/>
      <c r="K404" s="21"/>
      <c r="L404" s="21"/>
      <c r="M404" s="21"/>
      <c r="N404" s="21"/>
      <c r="O404" s="21"/>
      <c r="P404" s="21"/>
      <c r="Q404" s="19">
        <v>36.0</v>
      </c>
      <c r="R404" s="21"/>
      <c r="S404" s="21"/>
      <c r="T404" s="19">
        <v>1012.0</v>
      </c>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10"/>
    </row>
    <row r="405">
      <c r="A405" s="21"/>
      <c r="B405" s="21"/>
      <c r="C405" s="21"/>
      <c r="D405" s="21"/>
      <c r="E405" s="32">
        <v>8.0</v>
      </c>
      <c r="F405" s="21"/>
      <c r="G405" s="19">
        <v>200.0</v>
      </c>
      <c r="H405" s="21"/>
      <c r="I405" s="21"/>
      <c r="J405" s="21"/>
      <c r="K405" s="21"/>
      <c r="L405" s="21"/>
      <c r="M405" s="21"/>
      <c r="N405" s="21"/>
      <c r="O405" s="21"/>
      <c r="P405" s="21"/>
      <c r="Q405" s="19">
        <v>40.0</v>
      </c>
      <c r="R405" s="21"/>
      <c r="S405" s="21"/>
      <c r="T405" s="19">
        <v>1109.0</v>
      </c>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10"/>
    </row>
    <row r="406">
      <c r="A406" s="21"/>
      <c r="B406" s="21"/>
      <c r="C406" s="21"/>
      <c r="D406" s="21"/>
      <c r="E406" s="32">
        <v>9.0</v>
      </c>
      <c r="F406" s="21"/>
      <c r="G406" s="19">
        <v>220.0</v>
      </c>
      <c r="H406" s="21"/>
      <c r="I406" s="21"/>
      <c r="J406" s="21"/>
      <c r="K406" s="21"/>
      <c r="L406" s="21"/>
      <c r="M406" s="21"/>
      <c r="N406" s="21"/>
      <c r="O406" s="21"/>
      <c r="P406" s="21"/>
      <c r="Q406" s="19">
        <v>44.0</v>
      </c>
      <c r="R406" s="21"/>
      <c r="S406" s="21"/>
      <c r="T406" s="19">
        <v>1219.0</v>
      </c>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10"/>
    </row>
    <row r="407">
      <c r="A407" s="21"/>
      <c r="B407" s="21"/>
      <c r="C407" s="21"/>
      <c r="D407" s="21"/>
      <c r="E407" s="32">
        <v>10.0</v>
      </c>
      <c r="F407" s="21"/>
      <c r="G407" s="19">
        <v>242.0</v>
      </c>
      <c r="H407" s="21"/>
      <c r="I407" s="21"/>
      <c r="J407" s="21"/>
      <c r="K407" s="21"/>
      <c r="L407" s="21"/>
      <c r="M407" s="21"/>
      <c r="N407" s="21"/>
      <c r="O407" s="21"/>
      <c r="P407" s="21"/>
      <c r="Q407" s="19">
        <v>48.0</v>
      </c>
      <c r="R407" s="21"/>
      <c r="S407" s="21"/>
      <c r="T407" s="19">
        <v>1339.0</v>
      </c>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10"/>
    </row>
    <row r="408">
      <c r="A408" s="21"/>
      <c r="B408" s="21"/>
      <c r="C408" s="21"/>
      <c r="D408" s="21"/>
      <c r="E408" s="32">
        <v>11.0</v>
      </c>
      <c r="F408" s="21"/>
      <c r="G408" s="19">
        <v>266.0</v>
      </c>
      <c r="H408" s="21"/>
      <c r="I408" s="21"/>
      <c r="J408" s="21"/>
      <c r="K408" s="21"/>
      <c r="L408" s="21"/>
      <c r="M408" s="21"/>
      <c r="N408" s="21"/>
      <c r="O408" s="21"/>
      <c r="P408" s="21"/>
      <c r="Q408" s="19">
        <v>53.0</v>
      </c>
      <c r="R408" s="21"/>
      <c r="S408" s="21"/>
      <c r="T408" s="19">
        <v>1472.0</v>
      </c>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10"/>
    </row>
    <row r="409">
      <c r="A409" s="21"/>
      <c r="B409" s="21"/>
      <c r="C409" s="21"/>
      <c r="D409" s="21"/>
      <c r="E409" s="32">
        <v>12.0</v>
      </c>
      <c r="F409" s="21"/>
      <c r="G409" s="19">
        <v>292.0</v>
      </c>
      <c r="H409" s="21"/>
      <c r="I409" s="21"/>
      <c r="J409" s="21"/>
      <c r="K409" s="21"/>
      <c r="L409" s="21"/>
      <c r="M409" s="21"/>
      <c r="N409" s="21"/>
      <c r="O409" s="21"/>
      <c r="P409" s="21"/>
      <c r="Q409" s="19">
        <v>58.0</v>
      </c>
      <c r="R409" s="21"/>
      <c r="S409" s="21"/>
      <c r="T409" s="19">
        <v>1615.0</v>
      </c>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10"/>
    </row>
    <row r="410">
      <c r="A410" s="22"/>
      <c r="B410" s="22"/>
      <c r="C410" s="22"/>
      <c r="D410" s="22"/>
      <c r="E410" s="32">
        <v>13.0</v>
      </c>
      <c r="F410" s="22"/>
      <c r="G410" s="19">
        <v>321.0</v>
      </c>
      <c r="H410" s="22"/>
      <c r="I410" s="22"/>
      <c r="J410" s="22"/>
      <c r="K410" s="22"/>
      <c r="L410" s="22"/>
      <c r="M410" s="22"/>
      <c r="N410" s="22"/>
      <c r="O410" s="22"/>
      <c r="P410" s="22"/>
      <c r="Q410" s="19">
        <v>64.0</v>
      </c>
      <c r="R410" s="22"/>
      <c r="S410" s="22"/>
      <c r="T410" s="19">
        <v>1776.0</v>
      </c>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10"/>
    </row>
    <row r="411">
      <c r="A411" s="16" t="s">
        <v>199</v>
      </c>
      <c r="B411" s="27" t="s">
        <v>101</v>
      </c>
      <c r="C411" s="16" t="s">
        <v>84</v>
      </c>
      <c r="D411" s="16">
        <v>6.0</v>
      </c>
      <c r="E411" s="18">
        <v>3.0</v>
      </c>
      <c r="F411" s="16" t="s">
        <v>85</v>
      </c>
      <c r="G411" s="18">
        <v>700.0</v>
      </c>
      <c r="H411" s="16" t="s">
        <v>85</v>
      </c>
      <c r="I411" s="16" t="s">
        <v>85</v>
      </c>
      <c r="J411" s="16" t="s">
        <v>85</v>
      </c>
      <c r="K411" s="16" t="s">
        <v>85</v>
      </c>
      <c r="L411" s="16" t="s">
        <v>85</v>
      </c>
      <c r="M411" s="18">
        <v>210.0</v>
      </c>
      <c r="N411" s="16" t="s">
        <v>85</v>
      </c>
      <c r="O411" s="16" t="s">
        <v>85</v>
      </c>
      <c r="P411" s="16" t="s">
        <v>85</v>
      </c>
      <c r="Q411" s="16" t="s">
        <v>85</v>
      </c>
      <c r="R411" s="16" t="s">
        <v>85</v>
      </c>
      <c r="S411" s="16" t="s">
        <v>85</v>
      </c>
      <c r="T411" s="16" t="s">
        <v>85</v>
      </c>
      <c r="U411" s="16" t="s">
        <v>85</v>
      </c>
      <c r="V411" s="16" t="s">
        <v>85</v>
      </c>
      <c r="W411" s="16" t="s">
        <v>85</v>
      </c>
      <c r="X411" s="16" t="s">
        <v>85</v>
      </c>
      <c r="Y411" s="16" t="s">
        <v>85</v>
      </c>
      <c r="Z411" s="16" t="s">
        <v>85</v>
      </c>
      <c r="AA411" s="16" t="s">
        <v>85</v>
      </c>
      <c r="AB411" s="16" t="s">
        <v>85</v>
      </c>
      <c r="AC411" s="16" t="s">
        <v>85</v>
      </c>
      <c r="AD411" s="16" t="s">
        <v>85</v>
      </c>
      <c r="AE411" s="16" t="s">
        <v>85</v>
      </c>
      <c r="AF411" s="16" t="s">
        <v>85</v>
      </c>
      <c r="AG411" s="16" t="s">
        <v>85</v>
      </c>
      <c r="AH411" s="16" t="s">
        <v>85</v>
      </c>
      <c r="AI411" s="16" t="s">
        <v>85</v>
      </c>
      <c r="AJ411" s="16" t="s">
        <v>85</v>
      </c>
      <c r="AK411" s="16" t="s">
        <v>85</v>
      </c>
      <c r="AL411" s="16" t="s">
        <v>85</v>
      </c>
      <c r="AM411" s="16" t="s">
        <v>85</v>
      </c>
      <c r="AN411" s="16" t="s">
        <v>85</v>
      </c>
      <c r="AO411" s="16" t="s">
        <v>85</v>
      </c>
      <c r="AP411" s="16" t="s">
        <v>85</v>
      </c>
      <c r="AQ411" s="16" t="s">
        <v>85</v>
      </c>
      <c r="AR411" s="16" t="s">
        <v>85</v>
      </c>
      <c r="AS411" s="16" t="s">
        <v>85</v>
      </c>
      <c r="AT411" s="16" t="s">
        <v>85</v>
      </c>
      <c r="AU411" s="16" t="s">
        <v>85</v>
      </c>
      <c r="AV411" s="16" t="s">
        <v>85</v>
      </c>
      <c r="AW411" s="16" t="s">
        <v>85</v>
      </c>
      <c r="AX411" s="16" t="s">
        <v>85</v>
      </c>
      <c r="AY411" s="16" t="s">
        <v>85</v>
      </c>
      <c r="AZ411" s="16" t="s">
        <v>85</v>
      </c>
      <c r="BA411" s="16" t="s">
        <v>85</v>
      </c>
      <c r="BB411" s="16" t="s">
        <v>85</v>
      </c>
      <c r="BC411" s="16" t="s">
        <v>85</v>
      </c>
      <c r="BD411" s="16" t="s">
        <v>85</v>
      </c>
      <c r="BE411" s="16" t="s">
        <v>85</v>
      </c>
      <c r="BF411" s="16" t="s">
        <v>85</v>
      </c>
      <c r="BG411" s="16" t="s">
        <v>85</v>
      </c>
      <c r="BH411" s="16" t="s">
        <v>85</v>
      </c>
      <c r="BI411" s="16" t="s">
        <v>85</v>
      </c>
      <c r="BJ411" s="16">
        <v>2.0</v>
      </c>
      <c r="BK411" s="10"/>
    </row>
    <row r="412">
      <c r="A412" s="21"/>
      <c r="B412" s="21"/>
      <c r="C412" s="21"/>
      <c r="D412" s="21"/>
      <c r="E412" s="18">
        <v>4.0</v>
      </c>
      <c r="F412" s="21"/>
      <c r="G412" s="18">
        <v>770.0</v>
      </c>
      <c r="H412" s="21"/>
      <c r="I412" s="21"/>
      <c r="J412" s="21"/>
      <c r="K412" s="21"/>
      <c r="L412" s="21"/>
      <c r="M412" s="18">
        <v>231.0</v>
      </c>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10"/>
    </row>
    <row r="413">
      <c r="A413" s="21"/>
      <c r="B413" s="21"/>
      <c r="C413" s="21"/>
      <c r="D413" s="21"/>
      <c r="E413" s="18">
        <v>5.0</v>
      </c>
      <c r="F413" s="21"/>
      <c r="G413" s="18">
        <v>847.0</v>
      </c>
      <c r="H413" s="21"/>
      <c r="I413" s="21"/>
      <c r="J413" s="21"/>
      <c r="K413" s="21"/>
      <c r="L413" s="21"/>
      <c r="M413" s="18">
        <v>255.0</v>
      </c>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10"/>
    </row>
    <row r="414">
      <c r="A414" s="21"/>
      <c r="B414" s="21"/>
      <c r="C414" s="21"/>
      <c r="D414" s="21"/>
      <c r="E414" s="18">
        <v>6.0</v>
      </c>
      <c r="F414" s="21"/>
      <c r="G414" s="18">
        <v>931.0</v>
      </c>
      <c r="H414" s="21"/>
      <c r="I414" s="21"/>
      <c r="J414" s="21"/>
      <c r="K414" s="21"/>
      <c r="L414" s="21"/>
      <c r="M414" s="18">
        <v>280.0</v>
      </c>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10"/>
    </row>
    <row r="415">
      <c r="A415" s="21"/>
      <c r="B415" s="21"/>
      <c r="C415" s="21"/>
      <c r="D415" s="21"/>
      <c r="E415" s="18">
        <v>7.0</v>
      </c>
      <c r="F415" s="21"/>
      <c r="G415" s="18">
        <v>1022.0</v>
      </c>
      <c r="H415" s="21"/>
      <c r="I415" s="21"/>
      <c r="J415" s="21"/>
      <c r="K415" s="21"/>
      <c r="L415" s="21"/>
      <c r="M415" s="18">
        <v>307.0</v>
      </c>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10"/>
    </row>
    <row r="416">
      <c r="A416" s="21"/>
      <c r="B416" s="21"/>
      <c r="C416" s="21"/>
      <c r="D416" s="21"/>
      <c r="E416" s="18">
        <v>8.0</v>
      </c>
      <c r="F416" s="21"/>
      <c r="G416" s="18">
        <v>1120.0</v>
      </c>
      <c r="H416" s="21"/>
      <c r="I416" s="21"/>
      <c r="J416" s="21"/>
      <c r="K416" s="21"/>
      <c r="L416" s="21"/>
      <c r="M416" s="18">
        <v>336.0</v>
      </c>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10"/>
    </row>
    <row r="417">
      <c r="A417" s="21"/>
      <c r="B417" s="21"/>
      <c r="C417" s="21"/>
      <c r="D417" s="21"/>
      <c r="E417" s="18">
        <v>9.0</v>
      </c>
      <c r="F417" s="21"/>
      <c r="G417" s="18">
        <v>1232.0</v>
      </c>
      <c r="H417" s="21"/>
      <c r="I417" s="21"/>
      <c r="J417" s="21"/>
      <c r="K417" s="21"/>
      <c r="L417" s="21"/>
      <c r="M417" s="18">
        <v>370.0</v>
      </c>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10"/>
    </row>
    <row r="418">
      <c r="A418" s="21"/>
      <c r="B418" s="21"/>
      <c r="C418" s="21"/>
      <c r="D418" s="21"/>
      <c r="E418" s="18">
        <v>10.0</v>
      </c>
      <c r="F418" s="21"/>
      <c r="G418" s="18">
        <v>1351.0</v>
      </c>
      <c r="H418" s="21"/>
      <c r="I418" s="21"/>
      <c r="J418" s="21"/>
      <c r="K418" s="21"/>
      <c r="L418" s="21"/>
      <c r="M418" s="18">
        <v>406.0</v>
      </c>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10"/>
    </row>
    <row r="419">
      <c r="A419" s="21"/>
      <c r="B419" s="21"/>
      <c r="C419" s="21"/>
      <c r="D419" s="21"/>
      <c r="E419" s="18">
        <v>11.0</v>
      </c>
      <c r="F419" s="21"/>
      <c r="G419" s="18">
        <v>1484.0</v>
      </c>
      <c r="H419" s="21"/>
      <c r="I419" s="21"/>
      <c r="J419" s="21"/>
      <c r="K419" s="21"/>
      <c r="L419" s="21"/>
      <c r="M419" s="18">
        <v>446.0</v>
      </c>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10"/>
    </row>
    <row r="420">
      <c r="A420" s="21"/>
      <c r="B420" s="21"/>
      <c r="C420" s="21"/>
      <c r="D420" s="21"/>
      <c r="E420" s="18">
        <v>12.0</v>
      </c>
      <c r="F420" s="21"/>
      <c r="G420" s="18">
        <v>1631.0</v>
      </c>
      <c r="H420" s="21"/>
      <c r="I420" s="21"/>
      <c r="J420" s="21"/>
      <c r="K420" s="21"/>
      <c r="L420" s="21"/>
      <c r="M420" s="18">
        <v>490.0</v>
      </c>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10"/>
    </row>
    <row r="421">
      <c r="A421" s="22"/>
      <c r="B421" s="22"/>
      <c r="C421" s="22"/>
      <c r="D421" s="22"/>
      <c r="E421" s="18">
        <v>13.0</v>
      </c>
      <c r="F421" s="22"/>
      <c r="G421" s="18">
        <v>1792.0</v>
      </c>
      <c r="H421" s="22"/>
      <c r="I421" s="22"/>
      <c r="J421" s="22"/>
      <c r="K421" s="22"/>
      <c r="L421" s="22"/>
      <c r="M421" s="18">
        <v>538.0</v>
      </c>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10"/>
    </row>
    <row r="422">
      <c r="A422" s="16" t="s">
        <v>200</v>
      </c>
      <c r="B422" s="27" t="s">
        <v>101</v>
      </c>
      <c r="C422" s="16" t="s">
        <v>87</v>
      </c>
      <c r="D422" s="16">
        <v>4.0</v>
      </c>
      <c r="E422" s="18">
        <v>3.0</v>
      </c>
      <c r="F422" s="18">
        <v>81.0</v>
      </c>
      <c r="G422" s="16" t="s">
        <v>85</v>
      </c>
      <c r="H422" s="16" t="s">
        <v>85</v>
      </c>
      <c r="I422" s="16" t="s">
        <v>85</v>
      </c>
      <c r="J422" s="16" t="s">
        <v>85</v>
      </c>
      <c r="K422" s="16" t="s">
        <v>85</v>
      </c>
      <c r="L422" s="16" t="s">
        <v>85</v>
      </c>
      <c r="M422" s="16" t="s">
        <v>85</v>
      </c>
      <c r="N422" s="16" t="s">
        <v>85</v>
      </c>
      <c r="O422" s="16" t="s">
        <v>85</v>
      </c>
      <c r="P422" s="16" t="s">
        <v>85</v>
      </c>
      <c r="Q422" s="18">
        <v>73.0</v>
      </c>
      <c r="R422" s="16" t="s">
        <v>85</v>
      </c>
      <c r="S422" s="16" t="s">
        <v>85</v>
      </c>
      <c r="T422" s="18">
        <v>290.0</v>
      </c>
      <c r="U422" s="16" t="s">
        <v>85</v>
      </c>
      <c r="V422" s="16" t="s">
        <v>85</v>
      </c>
      <c r="W422" s="16" t="s">
        <v>85</v>
      </c>
      <c r="X422" s="16" t="s">
        <v>85</v>
      </c>
      <c r="Y422" s="16" t="s">
        <v>85</v>
      </c>
      <c r="Z422" s="16" t="s">
        <v>85</v>
      </c>
      <c r="AA422" s="16" t="s">
        <v>85</v>
      </c>
      <c r="AB422" s="16" t="s">
        <v>85</v>
      </c>
      <c r="AC422" s="16" t="s">
        <v>85</v>
      </c>
      <c r="AD422" s="16" t="s">
        <v>85</v>
      </c>
      <c r="AE422" s="16" t="s">
        <v>106</v>
      </c>
      <c r="AF422" s="16" t="s">
        <v>89</v>
      </c>
      <c r="AG422" s="16" t="s">
        <v>90</v>
      </c>
      <c r="AH422" s="16" t="s">
        <v>85</v>
      </c>
      <c r="AI422" s="16">
        <v>6.0</v>
      </c>
      <c r="AJ422" s="16" t="s">
        <v>85</v>
      </c>
      <c r="AK422" s="16" t="s">
        <v>85</v>
      </c>
      <c r="AL422" s="16" t="s">
        <v>85</v>
      </c>
      <c r="AM422" s="16" t="s">
        <v>85</v>
      </c>
      <c r="AN422" s="16" t="s">
        <v>85</v>
      </c>
      <c r="AO422" s="16" t="s">
        <v>85</v>
      </c>
      <c r="AP422" s="16" t="s">
        <v>85</v>
      </c>
      <c r="AQ422" s="16" t="s">
        <v>85</v>
      </c>
      <c r="AR422" s="16" t="s">
        <v>85</v>
      </c>
      <c r="AS422" s="16" t="s">
        <v>85</v>
      </c>
      <c r="AT422" s="16" t="s">
        <v>85</v>
      </c>
      <c r="AU422" s="16" t="s">
        <v>85</v>
      </c>
      <c r="AV422" s="16" t="s">
        <v>85</v>
      </c>
      <c r="AW422" s="16" t="s">
        <v>85</v>
      </c>
      <c r="AX422" s="16" t="s">
        <v>85</v>
      </c>
      <c r="AY422" s="16" t="s">
        <v>85</v>
      </c>
      <c r="AZ422" s="16" t="s">
        <v>85</v>
      </c>
      <c r="BA422" s="16" t="s">
        <v>85</v>
      </c>
      <c r="BB422" s="16" t="s">
        <v>85</v>
      </c>
      <c r="BC422" s="16" t="s">
        <v>85</v>
      </c>
      <c r="BD422" s="16" t="s">
        <v>85</v>
      </c>
      <c r="BE422" s="16" t="s">
        <v>85</v>
      </c>
      <c r="BF422" s="16" t="s">
        <v>85</v>
      </c>
      <c r="BG422" s="16" t="s">
        <v>85</v>
      </c>
      <c r="BH422" s="16" t="s">
        <v>85</v>
      </c>
      <c r="BI422" s="16" t="s">
        <v>85</v>
      </c>
      <c r="BJ422" s="16" t="s">
        <v>85</v>
      </c>
      <c r="BK422" s="10"/>
    </row>
    <row r="423">
      <c r="A423" s="21"/>
      <c r="B423" s="21"/>
      <c r="C423" s="21"/>
      <c r="D423" s="21"/>
      <c r="E423" s="18">
        <v>4.0</v>
      </c>
      <c r="F423" s="18">
        <v>89.0</v>
      </c>
      <c r="G423" s="21"/>
      <c r="H423" s="21"/>
      <c r="I423" s="21"/>
      <c r="J423" s="21"/>
      <c r="K423" s="21"/>
      <c r="L423" s="21"/>
      <c r="M423" s="21"/>
      <c r="N423" s="21"/>
      <c r="O423" s="21"/>
      <c r="P423" s="21"/>
      <c r="Q423" s="18">
        <v>80.0</v>
      </c>
      <c r="R423" s="21"/>
      <c r="S423" s="21"/>
      <c r="T423" s="18">
        <v>319.0</v>
      </c>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10"/>
    </row>
    <row r="424">
      <c r="A424" s="21"/>
      <c r="B424" s="21"/>
      <c r="C424" s="21"/>
      <c r="D424" s="21"/>
      <c r="E424" s="18">
        <v>5.0</v>
      </c>
      <c r="F424" s="18">
        <v>98.0</v>
      </c>
      <c r="G424" s="21"/>
      <c r="H424" s="21"/>
      <c r="I424" s="21"/>
      <c r="J424" s="21"/>
      <c r="K424" s="21"/>
      <c r="L424" s="21"/>
      <c r="M424" s="21"/>
      <c r="N424" s="21"/>
      <c r="O424" s="21"/>
      <c r="P424" s="21"/>
      <c r="Q424" s="18">
        <v>89.0</v>
      </c>
      <c r="R424" s="21"/>
      <c r="S424" s="21"/>
      <c r="T424" s="18">
        <v>350.0</v>
      </c>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10"/>
    </row>
    <row r="425">
      <c r="A425" s="21"/>
      <c r="B425" s="21"/>
      <c r="C425" s="21"/>
      <c r="D425" s="21"/>
      <c r="E425" s="18">
        <v>6.0</v>
      </c>
      <c r="F425" s="18">
        <v>107.0</v>
      </c>
      <c r="G425" s="21"/>
      <c r="H425" s="21"/>
      <c r="I425" s="21"/>
      <c r="J425" s="21"/>
      <c r="K425" s="21"/>
      <c r="L425" s="21"/>
      <c r="M425" s="21"/>
      <c r="N425" s="21"/>
      <c r="O425" s="21"/>
      <c r="P425" s="21"/>
      <c r="Q425" s="18">
        <v>97.0</v>
      </c>
      <c r="R425" s="21"/>
      <c r="S425" s="21"/>
      <c r="T425" s="18">
        <v>385.0</v>
      </c>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10"/>
    </row>
    <row r="426">
      <c r="A426" s="21"/>
      <c r="B426" s="21"/>
      <c r="C426" s="21"/>
      <c r="D426" s="21"/>
      <c r="E426" s="18">
        <v>7.0</v>
      </c>
      <c r="F426" s="18">
        <v>118.0</v>
      </c>
      <c r="G426" s="21"/>
      <c r="H426" s="21"/>
      <c r="I426" s="21"/>
      <c r="J426" s="21"/>
      <c r="K426" s="21"/>
      <c r="L426" s="21"/>
      <c r="M426" s="21"/>
      <c r="N426" s="21"/>
      <c r="O426" s="21"/>
      <c r="P426" s="21"/>
      <c r="Q426" s="18">
        <v>107.0</v>
      </c>
      <c r="R426" s="21"/>
      <c r="S426" s="21"/>
      <c r="T426" s="18">
        <v>423.0</v>
      </c>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10"/>
    </row>
    <row r="427">
      <c r="A427" s="21"/>
      <c r="B427" s="21"/>
      <c r="C427" s="21"/>
      <c r="D427" s="21"/>
      <c r="E427" s="18">
        <v>8.0</v>
      </c>
      <c r="F427" s="18">
        <v>129.0</v>
      </c>
      <c r="G427" s="21"/>
      <c r="H427" s="21"/>
      <c r="I427" s="21"/>
      <c r="J427" s="21"/>
      <c r="K427" s="21"/>
      <c r="L427" s="21"/>
      <c r="M427" s="21"/>
      <c r="N427" s="21"/>
      <c r="O427" s="21"/>
      <c r="P427" s="21"/>
      <c r="Q427" s="18">
        <v>117.0</v>
      </c>
      <c r="R427" s="21"/>
      <c r="S427" s="21"/>
      <c r="T427" s="18">
        <v>464.0</v>
      </c>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10"/>
    </row>
    <row r="428">
      <c r="A428" s="21"/>
      <c r="B428" s="21"/>
      <c r="C428" s="21"/>
      <c r="D428" s="21"/>
      <c r="E428" s="18">
        <v>9.0</v>
      </c>
      <c r="F428" s="18">
        <v>142.0</v>
      </c>
      <c r="G428" s="21"/>
      <c r="H428" s="21"/>
      <c r="I428" s="21"/>
      <c r="J428" s="21"/>
      <c r="K428" s="21"/>
      <c r="L428" s="21"/>
      <c r="M428" s="21"/>
      <c r="N428" s="21"/>
      <c r="O428" s="21"/>
      <c r="P428" s="21"/>
      <c r="Q428" s="18">
        <v>129.0</v>
      </c>
      <c r="R428" s="21"/>
      <c r="S428" s="21"/>
      <c r="T428" s="18">
        <v>510.0</v>
      </c>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10"/>
    </row>
    <row r="429">
      <c r="A429" s="21"/>
      <c r="B429" s="21"/>
      <c r="C429" s="21"/>
      <c r="D429" s="21"/>
      <c r="E429" s="18">
        <v>10.0</v>
      </c>
      <c r="F429" s="18">
        <v>156.0</v>
      </c>
      <c r="G429" s="21"/>
      <c r="H429" s="21"/>
      <c r="I429" s="21"/>
      <c r="J429" s="21"/>
      <c r="K429" s="21"/>
      <c r="L429" s="21"/>
      <c r="M429" s="21"/>
      <c r="N429" s="21"/>
      <c r="O429" s="21"/>
      <c r="P429" s="21"/>
      <c r="Q429" s="18">
        <v>141.0</v>
      </c>
      <c r="R429" s="21"/>
      <c r="S429" s="21"/>
      <c r="T429" s="18">
        <v>559.0</v>
      </c>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10"/>
    </row>
    <row r="430">
      <c r="A430" s="21"/>
      <c r="B430" s="21"/>
      <c r="C430" s="21"/>
      <c r="D430" s="21"/>
      <c r="E430" s="18">
        <v>11.0</v>
      </c>
      <c r="F430" s="18">
        <v>171.0</v>
      </c>
      <c r="G430" s="21"/>
      <c r="H430" s="21"/>
      <c r="I430" s="21"/>
      <c r="J430" s="21"/>
      <c r="K430" s="21"/>
      <c r="L430" s="21"/>
      <c r="M430" s="21"/>
      <c r="N430" s="21"/>
      <c r="O430" s="21"/>
      <c r="P430" s="21"/>
      <c r="Q430" s="18">
        <v>155.0</v>
      </c>
      <c r="R430" s="21"/>
      <c r="S430" s="21"/>
      <c r="T430" s="18">
        <v>614.0</v>
      </c>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10"/>
    </row>
    <row r="431">
      <c r="A431" s="21"/>
      <c r="B431" s="21"/>
      <c r="C431" s="21"/>
      <c r="D431" s="21"/>
      <c r="E431" s="18">
        <v>12.0</v>
      </c>
      <c r="F431" s="18">
        <v>188.0</v>
      </c>
      <c r="G431" s="21"/>
      <c r="H431" s="21"/>
      <c r="I431" s="21"/>
      <c r="J431" s="21"/>
      <c r="K431" s="21"/>
      <c r="L431" s="21"/>
      <c r="M431" s="21"/>
      <c r="N431" s="21"/>
      <c r="O431" s="21"/>
      <c r="P431" s="21"/>
      <c r="Q431" s="18">
        <v>170.0</v>
      </c>
      <c r="R431" s="21"/>
      <c r="S431" s="21"/>
      <c r="T431" s="18">
        <v>675.0</v>
      </c>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10"/>
    </row>
    <row r="432">
      <c r="A432" s="22"/>
      <c r="B432" s="22"/>
      <c r="C432" s="22"/>
      <c r="D432" s="22"/>
      <c r="E432" s="18">
        <v>13.0</v>
      </c>
      <c r="F432" s="18">
        <v>207.0</v>
      </c>
      <c r="G432" s="22"/>
      <c r="H432" s="22"/>
      <c r="I432" s="22"/>
      <c r="J432" s="22"/>
      <c r="K432" s="22"/>
      <c r="L432" s="22"/>
      <c r="M432" s="22"/>
      <c r="N432" s="22"/>
      <c r="O432" s="22"/>
      <c r="P432" s="22"/>
      <c r="Q432" s="18">
        <v>188.0</v>
      </c>
      <c r="R432" s="22"/>
      <c r="S432" s="22"/>
      <c r="T432" s="18">
        <v>742.0</v>
      </c>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10"/>
    </row>
    <row r="433">
      <c r="A433" s="16" t="s">
        <v>201</v>
      </c>
      <c r="B433" s="30" t="s">
        <v>131</v>
      </c>
      <c r="C433" s="16" t="s">
        <v>117</v>
      </c>
      <c r="D433" s="16">
        <v>6.0</v>
      </c>
      <c r="E433" s="18">
        <v>6.0</v>
      </c>
      <c r="F433" s="18">
        <v>26.0</v>
      </c>
      <c r="G433" s="16" t="s">
        <v>85</v>
      </c>
      <c r="H433" s="16" t="s">
        <v>85</v>
      </c>
      <c r="I433" s="16" t="s">
        <v>85</v>
      </c>
      <c r="J433" s="16" t="s">
        <v>85</v>
      </c>
      <c r="K433" s="16" t="s">
        <v>85</v>
      </c>
      <c r="L433" s="16" t="s">
        <v>85</v>
      </c>
      <c r="M433" s="16" t="s">
        <v>85</v>
      </c>
      <c r="N433" s="16" t="s">
        <v>85</v>
      </c>
      <c r="O433" s="16" t="s">
        <v>85</v>
      </c>
      <c r="P433" s="16" t="s">
        <v>85</v>
      </c>
      <c r="Q433" s="19">
        <v>86.0</v>
      </c>
      <c r="R433" s="16" t="s">
        <v>85</v>
      </c>
      <c r="S433" s="16" t="s">
        <v>85</v>
      </c>
      <c r="T433" s="18">
        <v>1000.0</v>
      </c>
      <c r="U433" s="16" t="s">
        <v>85</v>
      </c>
      <c r="V433" s="16" t="s">
        <v>85</v>
      </c>
      <c r="W433" s="16" t="s">
        <v>85</v>
      </c>
      <c r="X433" s="16" t="s">
        <v>85</v>
      </c>
      <c r="Y433" s="16" t="s">
        <v>85</v>
      </c>
      <c r="Z433" s="16" t="s">
        <v>85</v>
      </c>
      <c r="AA433" s="16" t="s">
        <v>85</v>
      </c>
      <c r="AB433" s="16" t="s">
        <v>85</v>
      </c>
      <c r="AC433" s="16" t="s">
        <v>85</v>
      </c>
      <c r="AD433" s="16" t="s">
        <v>85</v>
      </c>
      <c r="AE433" s="16" t="s">
        <v>202</v>
      </c>
      <c r="AF433" s="16" t="s">
        <v>98</v>
      </c>
      <c r="AG433" s="16" t="s">
        <v>85</v>
      </c>
      <c r="AH433" s="16" t="s">
        <v>85</v>
      </c>
      <c r="AI433" s="16">
        <v>11.5</v>
      </c>
      <c r="AJ433" s="16" t="s">
        <v>85</v>
      </c>
      <c r="AK433" s="16" t="s">
        <v>198</v>
      </c>
      <c r="AL433" s="16" t="s">
        <v>138</v>
      </c>
      <c r="AM433" s="16" t="s">
        <v>85</v>
      </c>
      <c r="AN433" s="16" t="s">
        <v>85</v>
      </c>
      <c r="AO433" s="16" t="s">
        <v>85</v>
      </c>
      <c r="AP433" s="16" t="s">
        <v>85</v>
      </c>
      <c r="AQ433" s="16" t="s">
        <v>85</v>
      </c>
      <c r="AR433" s="16" t="s">
        <v>85</v>
      </c>
      <c r="AS433" s="16" t="s">
        <v>85</v>
      </c>
      <c r="AT433" s="16" t="s">
        <v>85</v>
      </c>
      <c r="AU433" s="16" t="s">
        <v>85</v>
      </c>
      <c r="AV433" s="16" t="s">
        <v>85</v>
      </c>
      <c r="AW433" s="16" t="s">
        <v>85</v>
      </c>
      <c r="AX433" s="16" t="s">
        <v>85</v>
      </c>
      <c r="AY433" s="16" t="s">
        <v>85</v>
      </c>
      <c r="AZ433" s="16" t="s">
        <v>85</v>
      </c>
      <c r="BA433" s="16" t="s">
        <v>85</v>
      </c>
      <c r="BB433" s="16" t="s">
        <v>85</v>
      </c>
      <c r="BC433" s="16" t="s">
        <v>85</v>
      </c>
      <c r="BD433" s="16" t="s">
        <v>85</v>
      </c>
      <c r="BE433" s="16" t="s">
        <v>85</v>
      </c>
      <c r="BF433" s="16" t="s">
        <v>85</v>
      </c>
      <c r="BG433" s="16" t="s">
        <v>85</v>
      </c>
      <c r="BH433" s="16" t="s">
        <v>85</v>
      </c>
      <c r="BI433" s="16" t="s">
        <v>85</v>
      </c>
      <c r="BJ433" s="16" t="s">
        <v>85</v>
      </c>
      <c r="BK433" s="24"/>
    </row>
    <row r="434">
      <c r="A434" s="21"/>
      <c r="B434" s="21"/>
      <c r="C434" s="21"/>
      <c r="D434" s="21"/>
      <c r="E434" s="18">
        <v>7.0</v>
      </c>
      <c r="F434" s="19">
        <v>28.0</v>
      </c>
      <c r="G434" s="21"/>
      <c r="H434" s="21"/>
      <c r="I434" s="21"/>
      <c r="J434" s="21"/>
      <c r="K434" s="21"/>
      <c r="L434" s="21"/>
      <c r="M434" s="21"/>
      <c r="N434" s="21"/>
      <c r="O434" s="21"/>
      <c r="P434" s="21"/>
      <c r="Q434" s="19">
        <v>93.0</v>
      </c>
      <c r="R434" s="21"/>
      <c r="S434" s="21"/>
      <c r="T434" s="19">
        <v>1100.0</v>
      </c>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4"/>
    </row>
    <row r="435">
      <c r="A435" s="21"/>
      <c r="B435" s="21"/>
      <c r="C435" s="21"/>
      <c r="D435" s="21"/>
      <c r="E435" s="18">
        <v>8.0</v>
      </c>
      <c r="F435" s="19">
        <v>31.0</v>
      </c>
      <c r="G435" s="21"/>
      <c r="H435" s="21"/>
      <c r="I435" s="21"/>
      <c r="J435" s="21"/>
      <c r="K435" s="21"/>
      <c r="L435" s="21"/>
      <c r="M435" s="21"/>
      <c r="N435" s="21"/>
      <c r="O435" s="21"/>
      <c r="P435" s="21"/>
      <c r="Q435" s="19">
        <v>103.0</v>
      </c>
      <c r="R435" s="21"/>
      <c r="S435" s="21"/>
      <c r="T435" s="19">
        <v>1210.0</v>
      </c>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4"/>
    </row>
    <row r="436">
      <c r="A436" s="21"/>
      <c r="B436" s="21"/>
      <c r="C436" s="21"/>
      <c r="D436" s="21"/>
      <c r="E436" s="18">
        <v>9.0</v>
      </c>
      <c r="F436" s="19">
        <v>34.0</v>
      </c>
      <c r="G436" s="21"/>
      <c r="H436" s="21"/>
      <c r="I436" s="21"/>
      <c r="J436" s="21"/>
      <c r="K436" s="21"/>
      <c r="L436" s="21"/>
      <c r="M436" s="21"/>
      <c r="N436" s="21"/>
      <c r="O436" s="21"/>
      <c r="P436" s="21"/>
      <c r="Q436" s="19">
        <v>113.0</v>
      </c>
      <c r="R436" s="21"/>
      <c r="S436" s="21"/>
      <c r="T436" s="19">
        <v>1330.0</v>
      </c>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4"/>
    </row>
    <row r="437">
      <c r="A437" s="21"/>
      <c r="B437" s="21"/>
      <c r="C437" s="21"/>
      <c r="D437" s="21"/>
      <c r="E437" s="18">
        <v>10.0</v>
      </c>
      <c r="F437" s="19">
        <v>37.0</v>
      </c>
      <c r="G437" s="21"/>
      <c r="H437" s="21"/>
      <c r="I437" s="21"/>
      <c r="J437" s="21"/>
      <c r="K437" s="21"/>
      <c r="L437" s="21"/>
      <c r="M437" s="21"/>
      <c r="N437" s="21"/>
      <c r="O437" s="21"/>
      <c r="P437" s="21"/>
      <c r="Q437" s="19">
        <v>123.0</v>
      </c>
      <c r="R437" s="21"/>
      <c r="S437" s="21"/>
      <c r="T437" s="19">
        <v>1460.0</v>
      </c>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4"/>
    </row>
    <row r="438">
      <c r="A438" s="21"/>
      <c r="B438" s="21"/>
      <c r="C438" s="21"/>
      <c r="D438" s="21"/>
      <c r="E438" s="18">
        <v>11.0</v>
      </c>
      <c r="F438" s="19">
        <v>41.0</v>
      </c>
      <c r="G438" s="21"/>
      <c r="H438" s="21"/>
      <c r="I438" s="21"/>
      <c r="J438" s="21"/>
      <c r="K438" s="21"/>
      <c r="L438" s="21"/>
      <c r="M438" s="21"/>
      <c r="N438" s="21"/>
      <c r="O438" s="21"/>
      <c r="P438" s="21"/>
      <c r="Q438" s="19">
        <v>136.0</v>
      </c>
      <c r="R438" s="21"/>
      <c r="S438" s="21"/>
      <c r="T438" s="19">
        <v>1600.0</v>
      </c>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4"/>
    </row>
    <row r="439">
      <c r="A439" s="21"/>
      <c r="B439" s="21"/>
      <c r="C439" s="21"/>
      <c r="D439" s="21"/>
      <c r="E439" s="18">
        <v>12.0</v>
      </c>
      <c r="F439" s="19">
        <v>45.0</v>
      </c>
      <c r="G439" s="21"/>
      <c r="H439" s="21"/>
      <c r="I439" s="21"/>
      <c r="J439" s="21"/>
      <c r="K439" s="21"/>
      <c r="L439" s="21"/>
      <c r="M439" s="21"/>
      <c r="N439" s="21"/>
      <c r="O439" s="21"/>
      <c r="P439" s="21"/>
      <c r="Q439" s="19">
        <v>150.0</v>
      </c>
      <c r="R439" s="21"/>
      <c r="S439" s="21"/>
      <c r="T439" s="19">
        <v>1760.0</v>
      </c>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4"/>
    </row>
    <row r="440">
      <c r="A440" s="22"/>
      <c r="B440" s="22"/>
      <c r="C440" s="22"/>
      <c r="D440" s="22"/>
      <c r="E440" s="18">
        <v>13.0</v>
      </c>
      <c r="F440" s="19">
        <v>50.0</v>
      </c>
      <c r="G440" s="22"/>
      <c r="H440" s="22"/>
      <c r="I440" s="22"/>
      <c r="J440" s="22"/>
      <c r="K440" s="22"/>
      <c r="L440" s="22"/>
      <c r="M440" s="22"/>
      <c r="N440" s="22"/>
      <c r="O440" s="22"/>
      <c r="P440" s="22"/>
      <c r="Q440" s="19">
        <v>166.0</v>
      </c>
      <c r="R440" s="22"/>
      <c r="S440" s="22"/>
      <c r="T440" s="19">
        <v>1930.0</v>
      </c>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4"/>
    </row>
    <row r="441">
      <c r="A441" s="16" t="s">
        <v>203</v>
      </c>
      <c r="B441" s="30" t="s">
        <v>131</v>
      </c>
      <c r="C441" s="16" t="s">
        <v>87</v>
      </c>
      <c r="D441" s="16">
        <v>5.0</v>
      </c>
      <c r="E441" s="18">
        <v>6.0</v>
      </c>
      <c r="F441" s="18">
        <v>600.0</v>
      </c>
      <c r="G441" s="16" t="s">
        <v>85</v>
      </c>
      <c r="H441" s="16" t="s">
        <v>85</v>
      </c>
      <c r="I441" s="16" t="s">
        <v>85</v>
      </c>
      <c r="J441" s="16" t="s">
        <v>85</v>
      </c>
      <c r="K441" s="16" t="s">
        <v>85</v>
      </c>
      <c r="L441" s="18">
        <v>150.0</v>
      </c>
      <c r="M441" s="16" t="s">
        <v>85</v>
      </c>
      <c r="N441" s="16" t="s">
        <v>85</v>
      </c>
      <c r="O441" s="16" t="s">
        <v>85</v>
      </c>
      <c r="P441" s="16" t="s">
        <v>85</v>
      </c>
      <c r="Q441" s="18">
        <v>200.0</v>
      </c>
      <c r="R441" s="16" t="s">
        <v>85</v>
      </c>
      <c r="S441" s="16" t="s">
        <v>85</v>
      </c>
      <c r="T441" s="18">
        <v>1050.0</v>
      </c>
      <c r="U441" s="16" t="s">
        <v>85</v>
      </c>
      <c r="V441" s="16" t="s">
        <v>85</v>
      </c>
      <c r="W441" s="16" t="s">
        <v>85</v>
      </c>
      <c r="X441" s="16" t="s">
        <v>85</v>
      </c>
      <c r="Y441" s="16" t="s">
        <v>85</v>
      </c>
      <c r="Z441" s="16" t="s">
        <v>85</v>
      </c>
      <c r="AA441" s="16" t="s">
        <v>85</v>
      </c>
      <c r="AB441" s="16" t="s">
        <v>85</v>
      </c>
      <c r="AC441" s="16" t="s">
        <v>85</v>
      </c>
      <c r="AD441" s="16" t="s">
        <v>85</v>
      </c>
      <c r="AE441" s="16" t="s">
        <v>193</v>
      </c>
      <c r="AF441" s="16" t="s">
        <v>109</v>
      </c>
      <c r="AG441" s="16" t="s">
        <v>95</v>
      </c>
      <c r="AH441" s="16" t="s">
        <v>85</v>
      </c>
      <c r="AI441" s="16" t="s">
        <v>104</v>
      </c>
      <c r="AJ441" s="16" t="s">
        <v>85</v>
      </c>
      <c r="AK441" s="16" t="s">
        <v>85</v>
      </c>
      <c r="AL441" s="16" t="s">
        <v>85</v>
      </c>
      <c r="AM441" s="16" t="s">
        <v>85</v>
      </c>
      <c r="AN441" s="16" t="s">
        <v>85</v>
      </c>
      <c r="AO441" s="16" t="s">
        <v>85</v>
      </c>
      <c r="AP441" s="16" t="s">
        <v>85</v>
      </c>
      <c r="AQ441" s="16" t="s">
        <v>85</v>
      </c>
      <c r="AR441" s="16" t="s">
        <v>85</v>
      </c>
      <c r="AS441" s="16" t="s">
        <v>85</v>
      </c>
      <c r="AT441" s="16" t="s">
        <v>85</v>
      </c>
      <c r="AU441" s="16" t="s">
        <v>85</v>
      </c>
      <c r="AV441" s="16" t="s">
        <v>85</v>
      </c>
      <c r="AW441" s="16" t="s">
        <v>85</v>
      </c>
      <c r="AX441" s="16" t="s">
        <v>85</v>
      </c>
      <c r="AY441" s="16" t="s">
        <v>85</v>
      </c>
      <c r="AZ441" s="16" t="s">
        <v>85</v>
      </c>
      <c r="BA441" s="16" t="s">
        <v>85</v>
      </c>
      <c r="BB441" s="16" t="s">
        <v>85</v>
      </c>
      <c r="BC441" s="16" t="s">
        <v>85</v>
      </c>
      <c r="BD441" s="16" t="s">
        <v>85</v>
      </c>
      <c r="BE441" s="16" t="s">
        <v>85</v>
      </c>
      <c r="BF441" s="16" t="s">
        <v>85</v>
      </c>
      <c r="BG441" s="16" t="s">
        <v>85</v>
      </c>
      <c r="BH441" s="16" t="s">
        <v>85</v>
      </c>
      <c r="BI441" s="16" t="s">
        <v>85</v>
      </c>
      <c r="BJ441" s="16" t="s">
        <v>85</v>
      </c>
      <c r="BK441" s="10"/>
    </row>
    <row r="442">
      <c r="A442" s="21"/>
      <c r="B442" s="21"/>
      <c r="C442" s="21"/>
      <c r="D442" s="21"/>
      <c r="E442" s="18">
        <v>7.0</v>
      </c>
      <c r="F442" s="18">
        <v>660.0</v>
      </c>
      <c r="G442" s="21"/>
      <c r="H442" s="21"/>
      <c r="I442" s="21"/>
      <c r="J442" s="21"/>
      <c r="K442" s="21"/>
      <c r="L442" s="19">
        <v>165.0</v>
      </c>
      <c r="M442" s="21"/>
      <c r="N442" s="21"/>
      <c r="O442" s="21"/>
      <c r="P442" s="21"/>
      <c r="Q442" s="18">
        <v>220.0</v>
      </c>
      <c r="R442" s="21"/>
      <c r="S442" s="21"/>
      <c r="T442" s="18">
        <v>1155.0</v>
      </c>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10"/>
    </row>
    <row r="443">
      <c r="A443" s="21"/>
      <c r="B443" s="21"/>
      <c r="C443" s="21"/>
      <c r="D443" s="21"/>
      <c r="E443" s="18">
        <v>8.0</v>
      </c>
      <c r="F443" s="18">
        <v>726.0</v>
      </c>
      <c r="G443" s="21"/>
      <c r="H443" s="21"/>
      <c r="I443" s="21"/>
      <c r="J443" s="21"/>
      <c r="K443" s="21"/>
      <c r="L443" s="19">
        <v>181.0</v>
      </c>
      <c r="M443" s="21"/>
      <c r="N443" s="21"/>
      <c r="O443" s="21"/>
      <c r="P443" s="21"/>
      <c r="Q443" s="18">
        <v>242.0</v>
      </c>
      <c r="R443" s="21"/>
      <c r="S443" s="21"/>
      <c r="T443" s="18">
        <v>1270.0</v>
      </c>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10"/>
    </row>
    <row r="444">
      <c r="A444" s="21"/>
      <c r="B444" s="21"/>
      <c r="C444" s="21"/>
      <c r="D444" s="21"/>
      <c r="E444" s="18">
        <v>9.0</v>
      </c>
      <c r="F444" s="18">
        <v>798.0</v>
      </c>
      <c r="G444" s="21"/>
      <c r="H444" s="21"/>
      <c r="I444" s="21"/>
      <c r="J444" s="21"/>
      <c r="K444" s="21"/>
      <c r="L444" s="19">
        <v>199.0</v>
      </c>
      <c r="M444" s="21"/>
      <c r="N444" s="21"/>
      <c r="O444" s="21"/>
      <c r="P444" s="21"/>
      <c r="Q444" s="18">
        <v>266.0</v>
      </c>
      <c r="R444" s="21"/>
      <c r="S444" s="21"/>
      <c r="T444" s="18">
        <v>1396.0</v>
      </c>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10"/>
    </row>
    <row r="445">
      <c r="A445" s="21"/>
      <c r="B445" s="21"/>
      <c r="C445" s="21"/>
      <c r="D445" s="21"/>
      <c r="E445" s="18">
        <v>10.0</v>
      </c>
      <c r="F445" s="18">
        <v>876.0</v>
      </c>
      <c r="G445" s="21"/>
      <c r="H445" s="21"/>
      <c r="I445" s="21"/>
      <c r="J445" s="21"/>
      <c r="K445" s="21"/>
      <c r="L445" s="19">
        <v>219.0</v>
      </c>
      <c r="M445" s="21"/>
      <c r="N445" s="21"/>
      <c r="O445" s="21"/>
      <c r="P445" s="21"/>
      <c r="Q445" s="18">
        <v>292.0</v>
      </c>
      <c r="R445" s="21"/>
      <c r="S445" s="21"/>
      <c r="T445" s="18">
        <v>1533.0</v>
      </c>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10"/>
    </row>
    <row r="446">
      <c r="A446" s="21"/>
      <c r="B446" s="21"/>
      <c r="C446" s="21"/>
      <c r="D446" s="21"/>
      <c r="E446" s="18">
        <v>11.0</v>
      </c>
      <c r="F446" s="18">
        <v>960.0</v>
      </c>
      <c r="G446" s="21"/>
      <c r="H446" s="21"/>
      <c r="I446" s="21"/>
      <c r="J446" s="21"/>
      <c r="K446" s="21"/>
      <c r="L446" s="19">
        <v>240.0</v>
      </c>
      <c r="M446" s="21"/>
      <c r="N446" s="21"/>
      <c r="O446" s="21"/>
      <c r="P446" s="21"/>
      <c r="Q446" s="18">
        <v>320.0</v>
      </c>
      <c r="R446" s="21"/>
      <c r="S446" s="21"/>
      <c r="T446" s="18">
        <v>1680.0</v>
      </c>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10"/>
    </row>
    <row r="447">
      <c r="A447" s="21"/>
      <c r="B447" s="21"/>
      <c r="C447" s="21"/>
      <c r="D447" s="21"/>
      <c r="E447" s="18">
        <v>12.0</v>
      </c>
      <c r="F447" s="18">
        <v>1056.0</v>
      </c>
      <c r="G447" s="21"/>
      <c r="H447" s="21"/>
      <c r="I447" s="21"/>
      <c r="J447" s="21"/>
      <c r="K447" s="21"/>
      <c r="L447" s="19">
        <v>264.0</v>
      </c>
      <c r="M447" s="21"/>
      <c r="N447" s="21"/>
      <c r="O447" s="21"/>
      <c r="P447" s="21"/>
      <c r="Q447" s="18">
        <v>352.0</v>
      </c>
      <c r="R447" s="21"/>
      <c r="S447" s="21"/>
      <c r="T447" s="18">
        <v>1848.0</v>
      </c>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10"/>
    </row>
    <row r="448">
      <c r="A448" s="22"/>
      <c r="B448" s="22"/>
      <c r="C448" s="22"/>
      <c r="D448" s="22"/>
      <c r="E448" s="18">
        <v>13.0</v>
      </c>
      <c r="F448" s="18">
        <v>1158.0</v>
      </c>
      <c r="G448" s="22"/>
      <c r="H448" s="22"/>
      <c r="I448" s="22"/>
      <c r="J448" s="22"/>
      <c r="K448" s="22"/>
      <c r="L448" s="19">
        <v>289.0</v>
      </c>
      <c r="M448" s="22"/>
      <c r="N448" s="22"/>
      <c r="O448" s="22"/>
      <c r="P448" s="22"/>
      <c r="Q448" s="18">
        <v>386.0</v>
      </c>
      <c r="R448" s="22"/>
      <c r="S448" s="22"/>
      <c r="T448" s="18">
        <v>2026.0</v>
      </c>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10"/>
    </row>
    <row r="449">
      <c r="A449" s="16" t="s">
        <v>204</v>
      </c>
      <c r="B449" s="35" t="s">
        <v>181</v>
      </c>
      <c r="C449" s="16" t="s">
        <v>84</v>
      </c>
      <c r="D449" s="16">
        <v>2.0</v>
      </c>
      <c r="E449" s="18">
        <v>9.0</v>
      </c>
      <c r="F449" s="16" t="s">
        <v>85</v>
      </c>
      <c r="G449" s="18">
        <v>240.0</v>
      </c>
      <c r="H449" s="16" t="s">
        <v>85</v>
      </c>
      <c r="I449" s="16" t="s">
        <v>85</v>
      </c>
      <c r="J449" s="16" t="s">
        <v>85</v>
      </c>
      <c r="K449" s="16" t="s">
        <v>85</v>
      </c>
      <c r="L449" s="16" t="s">
        <v>85</v>
      </c>
      <c r="M449" s="18">
        <v>72.0</v>
      </c>
      <c r="N449" s="16" t="s">
        <v>85</v>
      </c>
      <c r="O449" s="16" t="s">
        <v>85</v>
      </c>
      <c r="P449" s="16" t="s">
        <v>85</v>
      </c>
      <c r="Q449" s="16" t="s">
        <v>85</v>
      </c>
      <c r="R449" s="16" t="s">
        <v>85</v>
      </c>
      <c r="S449" s="16" t="s">
        <v>85</v>
      </c>
      <c r="T449" s="16" t="s">
        <v>85</v>
      </c>
      <c r="U449" s="16" t="s">
        <v>85</v>
      </c>
      <c r="V449" s="16" t="s">
        <v>85</v>
      </c>
      <c r="W449" s="16" t="s">
        <v>85</v>
      </c>
      <c r="X449" s="16" t="s">
        <v>85</v>
      </c>
      <c r="Y449" s="16" t="s">
        <v>85</v>
      </c>
      <c r="Z449" s="16" t="s">
        <v>85</v>
      </c>
      <c r="AA449" s="16" t="s">
        <v>85</v>
      </c>
      <c r="AB449" s="16" t="s">
        <v>85</v>
      </c>
      <c r="AC449" s="16" t="s">
        <v>85</v>
      </c>
      <c r="AD449" s="16" t="s">
        <v>85</v>
      </c>
      <c r="AE449" s="16" t="s">
        <v>85</v>
      </c>
      <c r="AF449" s="16" t="s">
        <v>98</v>
      </c>
      <c r="AG449" s="16" t="s">
        <v>85</v>
      </c>
      <c r="AH449" s="16">
        <v>3.9</v>
      </c>
      <c r="AI449" s="16">
        <v>10.1</v>
      </c>
      <c r="AJ449" s="16" t="s">
        <v>85</v>
      </c>
      <c r="AK449" s="16" t="s">
        <v>85</v>
      </c>
      <c r="AL449" s="16" t="s">
        <v>85</v>
      </c>
      <c r="AM449" s="16" t="s">
        <v>85</v>
      </c>
      <c r="AN449" s="16" t="s">
        <v>85</v>
      </c>
      <c r="AO449" s="16" t="s">
        <v>85</v>
      </c>
      <c r="AP449" s="16" t="s">
        <v>85</v>
      </c>
      <c r="AQ449" s="16" t="s">
        <v>85</v>
      </c>
      <c r="AR449" s="16" t="s">
        <v>85</v>
      </c>
      <c r="AS449" s="16" t="s">
        <v>85</v>
      </c>
      <c r="AT449" s="16" t="s">
        <v>85</v>
      </c>
      <c r="AU449" s="16" t="s">
        <v>85</v>
      </c>
      <c r="AV449" s="16" t="s">
        <v>85</v>
      </c>
      <c r="AW449" s="16" t="s">
        <v>85</v>
      </c>
      <c r="AX449" s="16" t="s">
        <v>85</v>
      </c>
      <c r="AY449" s="16" t="s">
        <v>85</v>
      </c>
      <c r="AZ449" s="16" t="s">
        <v>85</v>
      </c>
      <c r="BA449" s="16" t="s">
        <v>85</v>
      </c>
      <c r="BB449" s="16" t="s">
        <v>85</v>
      </c>
      <c r="BC449" s="16" t="s">
        <v>85</v>
      </c>
      <c r="BD449" s="16" t="s">
        <v>85</v>
      </c>
      <c r="BE449" s="16" t="s">
        <v>85</v>
      </c>
      <c r="BF449" s="16" t="s">
        <v>85</v>
      </c>
      <c r="BG449" s="16" t="s">
        <v>85</v>
      </c>
      <c r="BH449" s="16" t="s">
        <v>85</v>
      </c>
      <c r="BI449" s="16" t="s">
        <v>85</v>
      </c>
      <c r="BJ449" s="16" t="s">
        <v>85</v>
      </c>
      <c r="BK449" s="10"/>
    </row>
    <row r="450">
      <c r="A450" s="21"/>
      <c r="B450" s="21"/>
      <c r="C450" s="21"/>
      <c r="D450" s="21"/>
      <c r="E450" s="18">
        <v>10.0</v>
      </c>
      <c r="F450" s="21"/>
      <c r="G450" s="18">
        <v>264.0</v>
      </c>
      <c r="H450" s="21"/>
      <c r="I450" s="21"/>
      <c r="J450" s="21"/>
      <c r="K450" s="21"/>
      <c r="L450" s="21"/>
      <c r="M450" s="18">
        <v>80.0</v>
      </c>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10"/>
    </row>
    <row r="451">
      <c r="A451" s="21"/>
      <c r="B451" s="21"/>
      <c r="C451" s="21"/>
      <c r="D451" s="21"/>
      <c r="E451" s="18">
        <v>11.0</v>
      </c>
      <c r="F451" s="21"/>
      <c r="G451" s="18">
        <v>290.0</v>
      </c>
      <c r="H451" s="21"/>
      <c r="I451" s="21"/>
      <c r="J451" s="21"/>
      <c r="K451" s="21"/>
      <c r="L451" s="21"/>
      <c r="M451" s="18">
        <v>87.0</v>
      </c>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10"/>
    </row>
    <row r="452">
      <c r="A452" s="21"/>
      <c r="B452" s="21"/>
      <c r="C452" s="21"/>
      <c r="D452" s="21"/>
      <c r="E452" s="18">
        <v>12.0</v>
      </c>
      <c r="F452" s="21"/>
      <c r="G452" s="18">
        <v>319.0</v>
      </c>
      <c r="H452" s="21"/>
      <c r="I452" s="21"/>
      <c r="J452" s="21"/>
      <c r="K452" s="21"/>
      <c r="L452" s="21"/>
      <c r="M452" s="18">
        <v>96.0</v>
      </c>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10"/>
    </row>
    <row r="453">
      <c r="A453" s="22"/>
      <c r="B453" s="22"/>
      <c r="C453" s="22"/>
      <c r="D453" s="22"/>
      <c r="E453" s="18">
        <v>13.0</v>
      </c>
      <c r="F453" s="22"/>
      <c r="G453" s="18">
        <v>350.0</v>
      </c>
      <c r="H453" s="22"/>
      <c r="I453" s="22"/>
      <c r="J453" s="22"/>
      <c r="K453" s="22"/>
      <c r="L453" s="22"/>
      <c r="M453" s="18">
        <v>105.0</v>
      </c>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10"/>
    </row>
    <row r="454">
      <c r="A454" s="12" t="s">
        <v>205</v>
      </c>
      <c r="B454" s="13" t="s">
        <v>206</v>
      </c>
      <c r="C454" s="14"/>
      <c r="D454" s="14"/>
      <c r="E454" s="15"/>
      <c r="F454" s="29"/>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5"/>
      <c r="BK454" s="10"/>
    </row>
    <row r="455">
      <c r="A455" s="16" t="s">
        <v>207</v>
      </c>
      <c r="B455" s="17" t="s">
        <v>83</v>
      </c>
      <c r="C455" s="16" t="s">
        <v>87</v>
      </c>
      <c r="D455" s="16">
        <v>7.0</v>
      </c>
      <c r="E455" s="18">
        <v>1.0</v>
      </c>
      <c r="F455" s="18">
        <v>52.0</v>
      </c>
      <c r="G455" s="16" t="s">
        <v>85</v>
      </c>
      <c r="H455" s="16" t="s">
        <v>85</v>
      </c>
      <c r="I455" s="16" t="s">
        <v>85</v>
      </c>
      <c r="J455" s="16" t="s">
        <v>85</v>
      </c>
      <c r="K455" s="16" t="s">
        <v>85</v>
      </c>
      <c r="L455" s="16" t="s">
        <v>85</v>
      </c>
      <c r="M455" s="16" t="s">
        <v>85</v>
      </c>
      <c r="N455" s="16" t="s">
        <v>85</v>
      </c>
      <c r="O455" s="16" t="s">
        <v>85</v>
      </c>
      <c r="P455" s="16" t="s">
        <v>85</v>
      </c>
      <c r="Q455" s="19">
        <v>40.0</v>
      </c>
      <c r="R455" s="16" t="s">
        <v>85</v>
      </c>
      <c r="S455" s="16" t="s">
        <v>85</v>
      </c>
      <c r="T455" s="18">
        <v>208.0</v>
      </c>
      <c r="U455" s="18">
        <v>94.0</v>
      </c>
      <c r="V455" s="16" t="s">
        <v>85</v>
      </c>
      <c r="W455" s="16" t="s">
        <v>85</v>
      </c>
      <c r="X455" s="16" t="s">
        <v>85</v>
      </c>
      <c r="Y455" s="16" t="s">
        <v>85</v>
      </c>
      <c r="Z455" s="16" t="s">
        <v>85</v>
      </c>
      <c r="AA455" s="16" t="s">
        <v>85</v>
      </c>
      <c r="AB455" s="16" t="s">
        <v>85</v>
      </c>
      <c r="AC455" s="16" t="s">
        <v>85</v>
      </c>
      <c r="AD455" s="16" t="s">
        <v>85</v>
      </c>
      <c r="AE455" s="16" t="s">
        <v>187</v>
      </c>
      <c r="AF455" s="16" t="s">
        <v>98</v>
      </c>
      <c r="AG455" s="16" t="s">
        <v>95</v>
      </c>
      <c r="AH455" s="16" t="s">
        <v>85</v>
      </c>
      <c r="AI455" s="16" t="s">
        <v>91</v>
      </c>
      <c r="AJ455" s="16" t="s">
        <v>85</v>
      </c>
      <c r="AK455" s="16" t="s">
        <v>85</v>
      </c>
      <c r="AL455" s="16" t="s">
        <v>85</v>
      </c>
      <c r="AM455" s="16" t="s">
        <v>208</v>
      </c>
      <c r="AN455" s="16" t="s">
        <v>85</v>
      </c>
      <c r="AO455" s="16" t="s">
        <v>85</v>
      </c>
      <c r="AP455" s="16" t="s">
        <v>85</v>
      </c>
      <c r="AQ455" s="16" t="s">
        <v>85</v>
      </c>
      <c r="AR455" s="16" t="s">
        <v>85</v>
      </c>
      <c r="AS455" s="16" t="s">
        <v>85</v>
      </c>
      <c r="AT455" s="16" t="s">
        <v>85</v>
      </c>
      <c r="AU455" s="16" t="s">
        <v>85</v>
      </c>
      <c r="AV455" s="16" t="s">
        <v>85</v>
      </c>
      <c r="AW455" s="16" t="s">
        <v>85</v>
      </c>
      <c r="AX455" s="16" t="s">
        <v>85</v>
      </c>
      <c r="AY455" s="16" t="s">
        <v>85</v>
      </c>
      <c r="AZ455" s="16" t="s">
        <v>85</v>
      </c>
      <c r="BA455" s="16" t="s">
        <v>85</v>
      </c>
      <c r="BB455" s="16" t="s">
        <v>85</v>
      </c>
      <c r="BC455" s="16" t="s">
        <v>85</v>
      </c>
      <c r="BD455" s="16" t="s">
        <v>85</v>
      </c>
      <c r="BE455" s="16" t="s">
        <v>85</v>
      </c>
      <c r="BF455" s="16" t="s">
        <v>85</v>
      </c>
      <c r="BG455" s="16" t="s">
        <v>85</v>
      </c>
      <c r="BH455" s="16" t="s">
        <v>85</v>
      </c>
      <c r="BI455" s="16" t="s">
        <v>85</v>
      </c>
      <c r="BJ455" s="16" t="s">
        <v>85</v>
      </c>
      <c r="BK455" s="10"/>
    </row>
    <row r="456">
      <c r="A456" s="21"/>
      <c r="B456" s="21"/>
      <c r="C456" s="21"/>
      <c r="D456" s="21"/>
      <c r="E456" s="18">
        <v>2.0</v>
      </c>
      <c r="F456" s="19">
        <v>57.0</v>
      </c>
      <c r="G456" s="21"/>
      <c r="H456" s="21"/>
      <c r="I456" s="21"/>
      <c r="J456" s="21"/>
      <c r="K456" s="21"/>
      <c r="L456" s="21"/>
      <c r="M456" s="21"/>
      <c r="N456" s="21"/>
      <c r="O456" s="21"/>
      <c r="P456" s="21"/>
      <c r="Q456" s="19">
        <v>43.0</v>
      </c>
      <c r="R456" s="21"/>
      <c r="S456" s="21"/>
      <c r="T456" s="19">
        <v>228.0</v>
      </c>
      <c r="U456" s="19">
        <v>103.0</v>
      </c>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10"/>
    </row>
    <row r="457">
      <c r="A457" s="21"/>
      <c r="B457" s="21"/>
      <c r="C457" s="21"/>
      <c r="D457" s="21"/>
      <c r="E457" s="18">
        <v>3.0</v>
      </c>
      <c r="F457" s="19">
        <v>62.0</v>
      </c>
      <c r="G457" s="21"/>
      <c r="H457" s="21"/>
      <c r="I457" s="21"/>
      <c r="J457" s="21"/>
      <c r="K457" s="21"/>
      <c r="L457" s="21"/>
      <c r="M457" s="21"/>
      <c r="N457" s="21"/>
      <c r="O457" s="21"/>
      <c r="P457" s="21"/>
      <c r="Q457" s="19">
        <v>47.0</v>
      </c>
      <c r="R457" s="21"/>
      <c r="S457" s="21"/>
      <c r="T457" s="19">
        <v>251.0</v>
      </c>
      <c r="U457" s="19">
        <v>113.0</v>
      </c>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10"/>
    </row>
    <row r="458">
      <c r="A458" s="21"/>
      <c r="B458" s="21"/>
      <c r="C458" s="21"/>
      <c r="D458" s="21"/>
      <c r="E458" s="18">
        <v>4.0</v>
      </c>
      <c r="F458" s="19">
        <v>69.0</v>
      </c>
      <c r="G458" s="21"/>
      <c r="H458" s="21"/>
      <c r="I458" s="21"/>
      <c r="J458" s="21"/>
      <c r="K458" s="21"/>
      <c r="L458" s="21"/>
      <c r="M458" s="21"/>
      <c r="N458" s="21"/>
      <c r="O458" s="21"/>
      <c r="P458" s="21"/>
      <c r="Q458" s="19">
        <v>53.0</v>
      </c>
      <c r="R458" s="21"/>
      <c r="S458" s="21"/>
      <c r="T458" s="19">
        <v>276.0</v>
      </c>
      <c r="U458" s="19">
        <v>125.0</v>
      </c>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10"/>
    </row>
    <row r="459">
      <c r="A459" s="21"/>
      <c r="B459" s="21"/>
      <c r="C459" s="21"/>
      <c r="D459" s="21"/>
      <c r="E459" s="18">
        <v>5.0</v>
      </c>
      <c r="F459" s="19">
        <v>75.0</v>
      </c>
      <c r="G459" s="21"/>
      <c r="H459" s="21"/>
      <c r="I459" s="21"/>
      <c r="J459" s="21"/>
      <c r="K459" s="21"/>
      <c r="L459" s="21"/>
      <c r="M459" s="21"/>
      <c r="N459" s="21"/>
      <c r="O459" s="21"/>
      <c r="P459" s="21"/>
      <c r="Q459" s="19">
        <v>57.0</v>
      </c>
      <c r="R459" s="21"/>
      <c r="S459" s="21"/>
      <c r="T459" s="19">
        <v>303.0</v>
      </c>
      <c r="U459" s="19">
        <v>137.0</v>
      </c>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10"/>
    </row>
    <row r="460">
      <c r="A460" s="21"/>
      <c r="B460" s="21"/>
      <c r="C460" s="21"/>
      <c r="D460" s="21"/>
      <c r="E460" s="18">
        <v>6.0</v>
      </c>
      <c r="F460" s="19">
        <v>83.0</v>
      </c>
      <c r="G460" s="21"/>
      <c r="H460" s="21"/>
      <c r="I460" s="21"/>
      <c r="J460" s="21"/>
      <c r="K460" s="21"/>
      <c r="L460" s="21"/>
      <c r="M460" s="21"/>
      <c r="N460" s="21"/>
      <c r="O460" s="21"/>
      <c r="P460" s="21"/>
      <c r="Q460" s="19">
        <v>63.0</v>
      </c>
      <c r="R460" s="21"/>
      <c r="S460" s="21"/>
      <c r="T460" s="19">
        <v>332.0</v>
      </c>
      <c r="U460" s="19">
        <v>150.0</v>
      </c>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10"/>
    </row>
    <row r="461">
      <c r="A461" s="21"/>
      <c r="B461" s="21"/>
      <c r="C461" s="21"/>
      <c r="D461" s="21"/>
      <c r="E461" s="18">
        <v>7.0</v>
      </c>
      <c r="F461" s="19">
        <v>91.0</v>
      </c>
      <c r="G461" s="21"/>
      <c r="H461" s="21"/>
      <c r="I461" s="21"/>
      <c r="J461" s="21"/>
      <c r="K461" s="21"/>
      <c r="L461" s="21"/>
      <c r="M461" s="21"/>
      <c r="N461" s="21"/>
      <c r="O461" s="21"/>
      <c r="P461" s="21"/>
      <c r="Q461" s="19">
        <v>70.0</v>
      </c>
      <c r="R461" s="21"/>
      <c r="S461" s="21"/>
      <c r="T461" s="19">
        <v>366.0</v>
      </c>
      <c r="U461" s="19">
        <v>165.0</v>
      </c>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10"/>
    </row>
    <row r="462">
      <c r="A462" s="21"/>
      <c r="B462" s="21"/>
      <c r="C462" s="21"/>
      <c r="D462" s="21"/>
      <c r="E462" s="18">
        <v>8.0</v>
      </c>
      <c r="F462" s="19">
        <v>100.0</v>
      </c>
      <c r="G462" s="21"/>
      <c r="H462" s="21"/>
      <c r="I462" s="21"/>
      <c r="J462" s="21"/>
      <c r="K462" s="21"/>
      <c r="L462" s="21"/>
      <c r="M462" s="21"/>
      <c r="N462" s="21"/>
      <c r="O462" s="21"/>
      <c r="P462" s="21"/>
      <c r="Q462" s="19">
        <v>76.0</v>
      </c>
      <c r="R462" s="21"/>
      <c r="S462" s="21"/>
      <c r="T462" s="19">
        <v>401.0</v>
      </c>
      <c r="U462" s="19">
        <v>181.0</v>
      </c>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10"/>
    </row>
    <row r="463">
      <c r="A463" s="21"/>
      <c r="B463" s="21"/>
      <c r="C463" s="21"/>
      <c r="D463" s="21"/>
      <c r="E463" s="18">
        <v>9.0</v>
      </c>
      <c r="F463" s="19">
        <v>110.0</v>
      </c>
      <c r="G463" s="21"/>
      <c r="H463" s="21"/>
      <c r="I463" s="21"/>
      <c r="J463" s="21"/>
      <c r="K463" s="21"/>
      <c r="L463" s="21"/>
      <c r="M463" s="21"/>
      <c r="N463" s="21"/>
      <c r="O463" s="21"/>
      <c r="P463" s="21"/>
      <c r="Q463" s="19">
        <v>84.0</v>
      </c>
      <c r="R463" s="21"/>
      <c r="S463" s="21"/>
      <c r="T463" s="19">
        <v>440.0</v>
      </c>
      <c r="U463" s="19">
        <v>199.0</v>
      </c>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10"/>
    </row>
    <row r="464">
      <c r="A464" s="21"/>
      <c r="B464" s="21"/>
      <c r="C464" s="21"/>
      <c r="D464" s="21"/>
      <c r="E464" s="18">
        <v>10.0</v>
      </c>
      <c r="F464" s="19">
        <v>121.0</v>
      </c>
      <c r="G464" s="21"/>
      <c r="H464" s="21"/>
      <c r="I464" s="21"/>
      <c r="J464" s="21"/>
      <c r="K464" s="21"/>
      <c r="L464" s="21"/>
      <c r="M464" s="21"/>
      <c r="N464" s="21"/>
      <c r="O464" s="21"/>
      <c r="P464" s="21"/>
      <c r="Q464" s="19">
        <v>93.0</v>
      </c>
      <c r="R464" s="21"/>
      <c r="S464" s="21"/>
      <c r="T464" s="19">
        <v>484.0</v>
      </c>
      <c r="U464" s="19">
        <v>219.0</v>
      </c>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10"/>
    </row>
    <row r="465">
      <c r="A465" s="21"/>
      <c r="B465" s="21"/>
      <c r="C465" s="21"/>
      <c r="D465" s="21"/>
      <c r="E465" s="18">
        <v>11.0</v>
      </c>
      <c r="F465" s="19">
        <v>133.0</v>
      </c>
      <c r="G465" s="21"/>
      <c r="H465" s="21"/>
      <c r="I465" s="21"/>
      <c r="J465" s="21"/>
      <c r="K465" s="21"/>
      <c r="L465" s="21"/>
      <c r="M465" s="21"/>
      <c r="N465" s="21"/>
      <c r="O465" s="21"/>
      <c r="P465" s="21"/>
      <c r="Q465" s="19">
        <v>102.0</v>
      </c>
      <c r="R465" s="21"/>
      <c r="S465" s="21"/>
      <c r="T465" s="19">
        <v>532.0</v>
      </c>
      <c r="U465" s="19">
        <v>240.0</v>
      </c>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10"/>
    </row>
    <row r="466">
      <c r="A466" s="21"/>
      <c r="B466" s="21"/>
      <c r="C466" s="21"/>
      <c r="D466" s="21"/>
      <c r="E466" s="18">
        <v>12.0</v>
      </c>
      <c r="F466" s="19">
        <v>146.0</v>
      </c>
      <c r="G466" s="21"/>
      <c r="H466" s="21"/>
      <c r="I466" s="21"/>
      <c r="J466" s="21"/>
      <c r="K466" s="21"/>
      <c r="L466" s="21"/>
      <c r="M466" s="21"/>
      <c r="N466" s="21"/>
      <c r="O466" s="21"/>
      <c r="P466" s="21"/>
      <c r="Q466" s="19">
        <v>112.0</v>
      </c>
      <c r="R466" s="21"/>
      <c r="S466" s="21"/>
      <c r="T466" s="19">
        <v>584.0</v>
      </c>
      <c r="U466" s="19">
        <v>264.0</v>
      </c>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10"/>
    </row>
    <row r="467">
      <c r="A467" s="22"/>
      <c r="B467" s="22"/>
      <c r="C467" s="22"/>
      <c r="D467" s="22"/>
      <c r="E467" s="18">
        <v>13.0</v>
      </c>
      <c r="F467" s="19">
        <v>160.0</v>
      </c>
      <c r="G467" s="22"/>
      <c r="H467" s="22"/>
      <c r="I467" s="22"/>
      <c r="J467" s="22"/>
      <c r="K467" s="22"/>
      <c r="L467" s="22"/>
      <c r="M467" s="22"/>
      <c r="N467" s="22"/>
      <c r="O467" s="22"/>
      <c r="P467" s="22"/>
      <c r="Q467" s="19">
        <v>123.0</v>
      </c>
      <c r="R467" s="22"/>
      <c r="S467" s="22"/>
      <c r="T467" s="19">
        <v>642.0</v>
      </c>
      <c r="U467" s="19">
        <v>290.0</v>
      </c>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10"/>
    </row>
    <row r="468">
      <c r="A468" s="16" t="s">
        <v>209</v>
      </c>
      <c r="B468" s="17" t="s">
        <v>83</v>
      </c>
      <c r="C468" s="16" t="s">
        <v>87</v>
      </c>
      <c r="D468" s="16">
        <v>6.0</v>
      </c>
      <c r="E468" s="32">
        <v>1.0</v>
      </c>
      <c r="F468" s="18">
        <v>120.0</v>
      </c>
      <c r="G468" s="16" t="s">
        <v>85</v>
      </c>
      <c r="H468" s="16" t="s">
        <v>85</v>
      </c>
      <c r="I468" s="16" t="s">
        <v>85</v>
      </c>
      <c r="J468" s="16" t="s">
        <v>85</v>
      </c>
      <c r="K468" s="16" t="s">
        <v>85</v>
      </c>
      <c r="L468" s="16" t="s">
        <v>85</v>
      </c>
      <c r="M468" s="16" t="s">
        <v>85</v>
      </c>
      <c r="N468" s="16" t="s">
        <v>85</v>
      </c>
      <c r="O468" s="16" t="s">
        <v>85</v>
      </c>
      <c r="P468" s="16" t="s">
        <v>85</v>
      </c>
      <c r="Q468" s="19">
        <v>70.0</v>
      </c>
      <c r="R468" s="16" t="s">
        <v>85</v>
      </c>
      <c r="S468" s="16" t="s">
        <v>85</v>
      </c>
      <c r="T468" s="18">
        <v>1200.0</v>
      </c>
      <c r="U468" s="16" t="s">
        <v>85</v>
      </c>
      <c r="V468" s="16" t="s">
        <v>85</v>
      </c>
      <c r="W468" s="16" t="s">
        <v>85</v>
      </c>
      <c r="X468" s="16" t="s">
        <v>85</v>
      </c>
      <c r="Y468" s="16" t="s">
        <v>85</v>
      </c>
      <c r="Z468" s="16" t="s">
        <v>85</v>
      </c>
      <c r="AA468" s="16" t="s">
        <v>85</v>
      </c>
      <c r="AB468" s="16" t="s">
        <v>85</v>
      </c>
      <c r="AC468" s="16" t="s">
        <v>85</v>
      </c>
      <c r="AD468" s="16" t="s">
        <v>85</v>
      </c>
      <c r="AE468" s="16" t="s">
        <v>103</v>
      </c>
      <c r="AF468" s="16" t="s">
        <v>109</v>
      </c>
      <c r="AG468" s="16" t="s">
        <v>110</v>
      </c>
      <c r="AH468" s="16" t="s">
        <v>85</v>
      </c>
      <c r="AI468" s="16">
        <v>5.0</v>
      </c>
      <c r="AJ468" s="16" t="s">
        <v>85</v>
      </c>
      <c r="AK468" s="16" t="s">
        <v>85</v>
      </c>
      <c r="AL468" s="16" t="s">
        <v>85</v>
      </c>
      <c r="AM468" s="16" t="s">
        <v>85</v>
      </c>
      <c r="AN468" s="16" t="s">
        <v>85</v>
      </c>
      <c r="AO468" s="16" t="s">
        <v>85</v>
      </c>
      <c r="AP468" s="16" t="s">
        <v>85</v>
      </c>
      <c r="AQ468" s="16" t="s">
        <v>85</v>
      </c>
      <c r="AR468" s="16" t="s">
        <v>85</v>
      </c>
      <c r="AS468" s="16" t="s">
        <v>85</v>
      </c>
      <c r="AT468" s="16" t="s">
        <v>85</v>
      </c>
      <c r="AU468" s="16" t="s">
        <v>85</v>
      </c>
      <c r="AV468" s="16" t="s">
        <v>85</v>
      </c>
      <c r="AW468" s="16" t="s">
        <v>85</v>
      </c>
      <c r="AX468" s="16" t="s">
        <v>85</v>
      </c>
      <c r="AY468" s="16" t="s">
        <v>85</v>
      </c>
      <c r="AZ468" s="16" t="s">
        <v>85</v>
      </c>
      <c r="BA468" s="16" t="s">
        <v>85</v>
      </c>
      <c r="BB468" s="16" t="s">
        <v>85</v>
      </c>
      <c r="BC468" s="16" t="s">
        <v>85</v>
      </c>
      <c r="BD468" s="16" t="s">
        <v>85</v>
      </c>
      <c r="BE468" s="16" t="s">
        <v>85</v>
      </c>
      <c r="BF468" s="16" t="s">
        <v>85</v>
      </c>
      <c r="BG468" s="16" t="s">
        <v>85</v>
      </c>
      <c r="BH468" s="16" t="s">
        <v>85</v>
      </c>
      <c r="BI468" s="16" t="s">
        <v>85</v>
      </c>
      <c r="BJ468" s="16" t="s">
        <v>85</v>
      </c>
      <c r="BK468" s="10"/>
    </row>
    <row r="469">
      <c r="A469" s="21"/>
      <c r="B469" s="21"/>
      <c r="C469" s="21"/>
      <c r="D469" s="21"/>
      <c r="E469" s="32">
        <v>2.0</v>
      </c>
      <c r="F469" s="19">
        <v>132.0</v>
      </c>
      <c r="G469" s="21"/>
      <c r="H469" s="21"/>
      <c r="I469" s="21"/>
      <c r="J469" s="21"/>
      <c r="K469" s="21"/>
      <c r="L469" s="21"/>
      <c r="M469" s="21"/>
      <c r="N469" s="21"/>
      <c r="O469" s="21"/>
      <c r="P469" s="21"/>
      <c r="Q469" s="19">
        <v>77.0</v>
      </c>
      <c r="R469" s="21"/>
      <c r="S469" s="21"/>
      <c r="T469" s="18">
        <v>1320.0</v>
      </c>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10"/>
    </row>
    <row r="470">
      <c r="A470" s="21"/>
      <c r="B470" s="21"/>
      <c r="C470" s="21"/>
      <c r="D470" s="21"/>
      <c r="E470" s="32">
        <v>3.0</v>
      </c>
      <c r="F470" s="19">
        <v>145.0</v>
      </c>
      <c r="G470" s="21"/>
      <c r="H470" s="21"/>
      <c r="I470" s="21"/>
      <c r="J470" s="21"/>
      <c r="K470" s="21"/>
      <c r="L470" s="21"/>
      <c r="M470" s="21"/>
      <c r="N470" s="21"/>
      <c r="O470" s="21"/>
      <c r="P470" s="21"/>
      <c r="Q470" s="19">
        <v>85.0</v>
      </c>
      <c r="R470" s="21"/>
      <c r="S470" s="21"/>
      <c r="T470" s="18">
        <v>1452.0</v>
      </c>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10"/>
    </row>
    <row r="471">
      <c r="A471" s="21"/>
      <c r="B471" s="21"/>
      <c r="C471" s="21"/>
      <c r="D471" s="21"/>
      <c r="E471" s="32">
        <v>4.0</v>
      </c>
      <c r="F471" s="19">
        <v>159.0</v>
      </c>
      <c r="G471" s="21"/>
      <c r="H471" s="21"/>
      <c r="I471" s="21"/>
      <c r="J471" s="21"/>
      <c r="K471" s="21"/>
      <c r="L471" s="21"/>
      <c r="M471" s="21"/>
      <c r="N471" s="21"/>
      <c r="O471" s="21"/>
      <c r="P471" s="21"/>
      <c r="Q471" s="19">
        <v>93.0</v>
      </c>
      <c r="R471" s="21"/>
      <c r="S471" s="21"/>
      <c r="T471" s="18">
        <v>1596.0</v>
      </c>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10"/>
    </row>
    <row r="472">
      <c r="A472" s="21"/>
      <c r="B472" s="21"/>
      <c r="C472" s="21"/>
      <c r="D472" s="21"/>
      <c r="E472" s="32">
        <v>5.0</v>
      </c>
      <c r="F472" s="19">
        <v>175.0</v>
      </c>
      <c r="G472" s="21"/>
      <c r="H472" s="21"/>
      <c r="I472" s="21"/>
      <c r="J472" s="21"/>
      <c r="K472" s="21"/>
      <c r="L472" s="21"/>
      <c r="M472" s="21"/>
      <c r="N472" s="21"/>
      <c r="O472" s="21"/>
      <c r="P472" s="21"/>
      <c r="Q472" s="19">
        <v>102.0</v>
      </c>
      <c r="R472" s="21"/>
      <c r="S472" s="21"/>
      <c r="T472" s="18">
        <v>1752.0</v>
      </c>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10"/>
    </row>
    <row r="473">
      <c r="A473" s="21"/>
      <c r="B473" s="21"/>
      <c r="C473" s="21"/>
      <c r="D473" s="21"/>
      <c r="E473" s="32">
        <v>6.0</v>
      </c>
      <c r="F473" s="19">
        <v>192.0</v>
      </c>
      <c r="G473" s="21"/>
      <c r="H473" s="21"/>
      <c r="I473" s="21"/>
      <c r="J473" s="21"/>
      <c r="K473" s="21"/>
      <c r="L473" s="21"/>
      <c r="M473" s="21"/>
      <c r="N473" s="21"/>
      <c r="O473" s="21"/>
      <c r="P473" s="21"/>
      <c r="Q473" s="19">
        <v>112.0</v>
      </c>
      <c r="R473" s="21"/>
      <c r="S473" s="21"/>
      <c r="T473" s="18">
        <v>1920.0</v>
      </c>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10"/>
    </row>
    <row r="474">
      <c r="A474" s="21"/>
      <c r="B474" s="21"/>
      <c r="C474" s="21"/>
      <c r="D474" s="21"/>
      <c r="E474" s="32">
        <v>7.0</v>
      </c>
      <c r="F474" s="19">
        <v>211.0</v>
      </c>
      <c r="G474" s="21"/>
      <c r="H474" s="21"/>
      <c r="I474" s="21"/>
      <c r="J474" s="21"/>
      <c r="K474" s="21"/>
      <c r="L474" s="21"/>
      <c r="M474" s="21"/>
      <c r="N474" s="21"/>
      <c r="O474" s="21"/>
      <c r="P474" s="21"/>
      <c r="Q474" s="19">
        <v>124.0</v>
      </c>
      <c r="R474" s="21"/>
      <c r="S474" s="21"/>
      <c r="T474" s="18">
        <v>2112.0</v>
      </c>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10"/>
    </row>
    <row r="475">
      <c r="A475" s="21"/>
      <c r="B475" s="21"/>
      <c r="C475" s="21"/>
      <c r="D475" s="21"/>
      <c r="E475" s="32">
        <v>8.0</v>
      </c>
      <c r="F475" s="19">
        <v>231.0</v>
      </c>
      <c r="G475" s="21"/>
      <c r="H475" s="21"/>
      <c r="I475" s="21"/>
      <c r="J475" s="21"/>
      <c r="K475" s="21"/>
      <c r="L475" s="21"/>
      <c r="M475" s="21"/>
      <c r="N475" s="21"/>
      <c r="O475" s="21"/>
      <c r="P475" s="21"/>
      <c r="Q475" s="19">
        <v>135.0</v>
      </c>
      <c r="R475" s="21"/>
      <c r="S475" s="21"/>
      <c r="T475" s="18">
        <v>2316.0</v>
      </c>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10"/>
    </row>
    <row r="476">
      <c r="A476" s="21"/>
      <c r="B476" s="21"/>
      <c r="C476" s="21"/>
      <c r="D476" s="21"/>
      <c r="E476" s="32">
        <v>9.0</v>
      </c>
      <c r="F476" s="19">
        <v>254.0</v>
      </c>
      <c r="G476" s="21"/>
      <c r="H476" s="21"/>
      <c r="I476" s="21"/>
      <c r="J476" s="21"/>
      <c r="K476" s="21"/>
      <c r="L476" s="21"/>
      <c r="M476" s="21"/>
      <c r="N476" s="21"/>
      <c r="O476" s="21"/>
      <c r="P476" s="21"/>
      <c r="Q476" s="19">
        <v>149.0</v>
      </c>
      <c r="R476" s="21"/>
      <c r="S476" s="21"/>
      <c r="T476" s="18">
        <v>2544.0</v>
      </c>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10"/>
    </row>
    <row r="477">
      <c r="A477" s="21"/>
      <c r="B477" s="21"/>
      <c r="C477" s="21"/>
      <c r="D477" s="21"/>
      <c r="E477" s="32">
        <v>10.0</v>
      </c>
      <c r="F477" s="19">
        <v>279.0</v>
      </c>
      <c r="G477" s="21"/>
      <c r="H477" s="21"/>
      <c r="I477" s="21"/>
      <c r="J477" s="21"/>
      <c r="K477" s="21"/>
      <c r="L477" s="21"/>
      <c r="M477" s="21"/>
      <c r="N477" s="21"/>
      <c r="O477" s="21"/>
      <c r="P477" s="21"/>
      <c r="Q477" s="19">
        <v>164.0</v>
      </c>
      <c r="R477" s="21"/>
      <c r="S477" s="21"/>
      <c r="T477" s="18">
        <v>2796.0</v>
      </c>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10"/>
    </row>
    <row r="478">
      <c r="A478" s="21"/>
      <c r="B478" s="21"/>
      <c r="C478" s="21"/>
      <c r="D478" s="21"/>
      <c r="E478" s="32">
        <v>11.0</v>
      </c>
      <c r="F478" s="19">
        <v>307.0</v>
      </c>
      <c r="G478" s="21"/>
      <c r="H478" s="21"/>
      <c r="I478" s="21"/>
      <c r="J478" s="21"/>
      <c r="K478" s="21"/>
      <c r="L478" s="21"/>
      <c r="M478" s="21"/>
      <c r="N478" s="21"/>
      <c r="O478" s="21"/>
      <c r="P478" s="21"/>
      <c r="Q478" s="19">
        <v>180.0</v>
      </c>
      <c r="R478" s="21"/>
      <c r="S478" s="21"/>
      <c r="T478" s="18">
        <v>3072.0</v>
      </c>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10"/>
    </row>
    <row r="479">
      <c r="A479" s="21"/>
      <c r="B479" s="21"/>
      <c r="C479" s="21"/>
      <c r="D479" s="21"/>
      <c r="E479" s="32">
        <v>12.0</v>
      </c>
      <c r="F479" s="19">
        <v>337.0</v>
      </c>
      <c r="G479" s="21"/>
      <c r="H479" s="21"/>
      <c r="I479" s="21"/>
      <c r="J479" s="21"/>
      <c r="K479" s="21"/>
      <c r="L479" s="21"/>
      <c r="M479" s="21"/>
      <c r="N479" s="21"/>
      <c r="O479" s="21"/>
      <c r="P479" s="21"/>
      <c r="Q479" s="19">
        <v>198.0</v>
      </c>
      <c r="R479" s="21"/>
      <c r="S479" s="21"/>
      <c r="T479" s="18">
        <v>3372.0</v>
      </c>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10"/>
    </row>
    <row r="480">
      <c r="A480" s="22"/>
      <c r="B480" s="22"/>
      <c r="C480" s="22"/>
      <c r="D480" s="22"/>
      <c r="E480" s="32">
        <v>13.0</v>
      </c>
      <c r="F480" s="19">
        <v>370.0</v>
      </c>
      <c r="G480" s="22"/>
      <c r="H480" s="22"/>
      <c r="I480" s="22"/>
      <c r="J480" s="22"/>
      <c r="K480" s="22"/>
      <c r="L480" s="22"/>
      <c r="M480" s="22"/>
      <c r="N480" s="22"/>
      <c r="O480" s="22"/>
      <c r="P480" s="22"/>
      <c r="Q480" s="19">
        <v>217.0</v>
      </c>
      <c r="R480" s="22"/>
      <c r="S480" s="22"/>
      <c r="T480" s="18">
        <v>3708.0</v>
      </c>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10"/>
    </row>
    <row r="481">
      <c r="A481" s="16" t="s">
        <v>210</v>
      </c>
      <c r="B481" s="27" t="s">
        <v>101</v>
      </c>
      <c r="C481" s="16" t="s">
        <v>87</v>
      </c>
      <c r="D481" s="16">
        <v>5.0</v>
      </c>
      <c r="E481" s="18">
        <v>3.0</v>
      </c>
      <c r="F481" s="18">
        <v>34.0</v>
      </c>
      <c r="G481" s="16" t="s">
        <v>85</v>
      </c>
      <c r="H481" s="16" t="s">
        <v>85</v>
      </c>
      <c r="I481" s="16" t="s">
        <v>85</v>
      </c>
      <c r="J481" s="16" t="s">
        <v>85</v>
      </c>
      <c r="K481" s="16" t="s">
        <v>85</v>
      </c>
      <c r="L481" s="16" t="s">
        <v>85</v>
      </c>
      <c r="M481" s="16" t="s">
        <v>85</v>
      </c>
      <c r="N481" s="16" t="s">
        <v>85</v>
      </c>
      <c r="O481" s="16" t="s">
        <v>85</v>
      </c>
      <c r="P481" s="16" t="s">
        <v>85</v>
      </c>
      <c r="Q481" s="19">
        <v>28.0</v>
      </c>
      <c r="R481" s="16" t="s">
        <v>85</v>
      </c>
      <c r="S481" s="16" t="s">
        <v>85</v>
      </c>
      <c r="T481" s="18">
        <v>395.0</v>
      </c>
      <c r="U481" s="16" t="s">
        <v>85</v>
      </c>
      <c r="V481" s="16" t="s">
        <v>85</v>
      </c>
      <c r="W481" s="16" t="s">
        <v>85</v>
      </c>
      <c r="X481" s="16" t="s">
        <v>85</v>
      </c>
      <c r="Y481" s="16" t="s">
        <v>85</v>
      </c>
      <c r="Z481" s="16" t="s">
        <v>85</v>
      </c>
      <c r="AA481" s="16" t="s">
        <v>85</v>
      </c>
      <c r="AB481" s="16" t="s">
        <v>85</v>
      </c>
      <c r="AC481" s="16" t="s">
        <v>85</v>
      </c>
      <c r="AD481" s="16" t="s">
        <v>85</v>
      </c>
      <c r="AE481" s="16" t="s">
        <v>94</v>
      </c>
      <c r="AF481" s="16" t="s">
        <v>109</v>
      </c>
      <c r="AG481" s="16" t="s">
        <v>114</v>
      </c>
      <c r="AH481" s="16" t="s">
        <v>85</v>
      </c>
      <c r="AI481" s="16" t="s">
        <v>104</v>
      </c>
      <c r="AJ481" s="16" t="s">
        <v>85</v>
      </c>
      <c r="AK481" s="16" t="s">
        <v>85</v>
      </c>
      <c r="AL481" s="16" t="s">
        <v>85</v>
      </c>
      <c r="AM481" s="16" t="s">
        <v>211</v>
      </c>
      <c r="AN481" s="16" t="s">
        <v>85</v>
      </c>
      <c r="AO481" s="16" t="s">
        <v>85</v>
      </c>
      <c r="AP481" s="16" t="s">
        <v>85</v>
      </c>
      <c r="AQ481" s="16" t="s">
        <v>85</v>
      </c>
      <c r="AR481" s="16" t="s">
        <v>85</v>
      </c>
      <c r="AS481" s="16" t="s">
        <v>85</v>
      </c>
      <c r="AT481" s="16" t="s">
        <v>85</v>
      </c>
      <c r="AU481" s="16" t="s">
        <v>85</v>
      </c>
      <c r="AV481" s="16" t="s">
        <v>85</v>
      </c>
      <c r="AW481" s="16" t="s">
        <v>85</v>
      </c>
      <c r="AX481" s="16" t="s">
        <v>85</v>
      </c>
      <c r="AY481" s="16" t="s">
        <v>85</v>
      </c>
      <c r="AZ481" s="16" t="s">
        <v>85</v>
      </c>
      <c r="BA481" s="16" t="s">
        <v>85</v>
      </c>
      <c r="BB481" s="16" t="s">
        <v>85</v>
      </c>
      <c r="BC481" s="16" t="s">
        <v>85</v>
      </c>
      <c r="BD481" s="16" t="s">
        <v>85</v>
      </c>
      <c r="BE481" s="16" t="s">
        <v>85</v>
      </c>
      <c r="BF481" s="16" t="s">
        <v>85</v>
      </c>
      <c r="BG481" s="16" t="s">
        <v>85</v>
      </c>
      <c r="BH481" s="16" t="s">
        <v>85</v>
      </c>
      <c r="BI481" s="16" t="s">
        <v>85</v>
      </c>
      <c r="BJ481" s="16" t="s">
        <v>85</v>
      </c>
      <c r="BK481" s="10"/>
    </row>
    <row r="482">
      <c r="A482" s="21"/>
      <c r="B482" s="21"/>
      <c r="C482" s="21"/>
      <c r="D482" s="21"/>
      <c r="E482" s="18">
        <v>4.0</v>
      </c>
      <c r="F482" s="19">
        <v>37.0</v>
      </c>
      <c r="G482" s="21"/>
      <c r="H482" s="21"/>
      <c r="I482" s="21"/>
      <c r="J482" s="21"/>
      <c r="K482" s="21"/>
      <c r="L482" s="21"/>
      <c r="M482" s="21"/>
      <c r="N482" s="21"/>
      <c r="O482" s="21"/>
      <c r="P482" s="21"/>
      <c r="Q482" s="19">
        <v>30.0</v>
      </c>
      <c r="R482" s="21"/>
      <c r="S482" s="21"/>
      <c r="T482" s="19">
        <v>434.0</v>
      </c>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10"/>
    </row>
    <row r="483">
      <c r="A483" s="21"/>
      <c r="B483" s="21"/>
      <c r="C483" s="21"/>
      <c r="D483" s="21"/>
      <c r="E483" s="18">
        <v>5.0</v>
      </c>
      <c r="F483" s="19">
        <v>41.0</v>
      </c>
      <c r="G483" s="21"/>
      <c r="H483" s="21"/>
      <c r="I483" s="21"/>
      <c r="J483" s="21"/>
      <c r="K483" s="21"/>
      <c r="L483" s="21"/>
      <c r="M483" s="21"/>
      <c r="N483" s="21"/>
      <c r="O483" s="21"/>
      <c r="P483" s="21"/>
      <c r="Q483" s="19">
        <v>34.0</v>
      </c>
      <c r="R483" s="21"/>
      <c r="S483" s="21"/>
      <c r="T483" s="19">
        <v>477.0</v>
      </c>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10"/>
    </row>
    <row r="484">
      <c r="A484" s="21"/>
      <c r="B484" s="21"/>
      <c r="C484" s="21"/>
      <c r="D484" s="21"/>
      <c r="E484" s="18">
        <v>6.0</v>
      </c>
      <c r="F484" s="19">
        <v>45.0</v>
      </c>
      <c r="G484" s="21"/>
      <c r="H484" s="21"/>
      <c r="I484" s="21"/>
      <c r="J484" s="21"/>
      <c r="K484" s="21"/>
      <c r="L484" s="21"/>
      <c r="M484" s="21"/>
      <c r="N484" s="21"/>
      <c r="O484" s="21"/>
      <c r="P484" s="21"/>
      <c r="Q484" s="19">
        <v>37.0</v>
      </c>
      <c r="R484" s="21"/>
      <c r="S484" s="21"/>
      <c r="T484" s="19">
        <v>525.0</v>
      </c>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10"/>
    </row>
    <row r="485">
      <c r="A485" s="21"/>
      <c r="B485" s="21"/>
      <c r="C485" s="21"/>
      <c r="D485" s="21"/>
      <c r="E485" s="18">
        <v>7.0</v>
      </c>
      <c r="F485" s="19">
        <v>49.0</v>
      </c>
      <c r="G485" s="21"/>
      <c r="H485" s="21"/>
      <c r="I485" s="21"/>
      <c r="J485" s="21"/>
      <c r="K485" s="21"/>
      <c r="L485" s="21"/>
      <c r="M485" s="21"/>
      <c r="N485" s="21"/>
      <c r="O485" s="21"/>
      <c r="P485" s="21"/>
      <c r="Q485" s="19">
        <v>40.0</v>
      </c>
      <c r="R485" s="21"/>
      <c r="S485" s="21"/>
      <c r="T485" s="19">
        <v>576.0</v>
      </c>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10"/>
    </row>
    <row r="486">
      <c r="A486" s="21"/>
      <c r="B486" s="21"/>
      <c r="C486" s="21"/>
      <c r="D486" s="21"/>
      <c r="E486" s="18">
        <v>8.0</v>
      </c>
      <c r="F486" s="19">
        <v>54.0</v>
      </c>
      <c r="G486" s="21"/>
      <c r="H486" s="21"/>
      <c r="I486" s="21"/>
      <c r="J486" s="21"/>
      <c r="K486" s="21"/>
      <c r="L486" s="21"/>
      <c r="M486" s="21"/>
      <c r="N486" s="21"/>
      <c r="O486" s="21"/>
      <c r="P486" s="21"/>
      <c r="Q486" s="19">
        <v>45.0</v>
      </c>
      <c r="R486" s="21"/>
      <c r="S486" s="21"/>
      <c r="T486" s="19">
        <v>632.0</v>
      </c>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10"/>
    </row>
    <row r="487">
      <c r="A487" s="21"/>
      <c r="B487" s="21"/>
      <c r="C487" s="21"/>
      <c r="D487" s="21"/>
      <c r="E487" s="18">
        <v>9.0</v>
      </c>
      <c r="F487" s="19">
        <v>59.0</v>
      </c>
      <c r="G487" s="21"/>
      <c r="H487" s="21"/>
      <c r="I487" s="21"/>
      <c r="J487" s="21"/>
      <c r="K487" s="21"/>
      <c r="L487" s="21"/>
      <c r="M487" s="21"/>
      <c r="N487" s="21"/>
      <c r="O487" s="21"/>
      <c r="P487" s="21"/>
      <c r="Q487" s="19">
        <v>49.0</v>
      </c>
      <c r="R487" s="21"/>
      <c r="S487" s="21"/>
      <c r="T487" s="19">
        <v>695.0</v>
      </c>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10"/>
    </row>
    <row r="488">
      <c r="A488" s="21"/>
      <c r="B488" s="21"/>
      <c r="C488" s="21"/>
      <c r="D488" s="21"/>
      <c r="E488" s="18">
        <v>10.0</v>
      </c>
      <c r="F488" s="19">
        <v>65.0</v>
      </c>
      <c r="G488" s="21"/>
      <c r="H488" s="21"/>
      <c r="I488" s="21"/>
      <c r="J488" s="21"/>
      <c r="K488" s="21"/>
      <c r="L488" s="21"/>
      <c r="M488" s="21"/>
      <c r="N488" s="21"/>
      <c r="O488" s="21"/>
      <c r="P488" s="21"/>
      <c r="Q488" s="19">
        <v>54.0</v>
      </c>
      <c r="R488" s="21"/>
      <c r="S488" s="21"/>
      <c r="T488" s="19">
        <v>762.0</v>
      </c>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10"/>
    </row>
    <row r="489">
      <c r="A489" s="21"/>
      <c r="B489" s="21"/>
      <c r="C489" s="21"/>
      <c r="D489" s="21"/>
      <c r="E489" s="18">
        <v>11.0</v>
      </c>
      <c r="F489" s="19">
        <v>72.0</v>
      </c>
      <c r="G489" s="21"/>
      <c r="H489" s="21"/>
      <c r="I489" s="21"/>
      <c r="J489" s="21"/>
      <c r="K489" s="21"/>
      <c r="L489" s="21"/>
      <c r="M489" s="21"/>
      <c r="N489" s="21"/>
      <c r="O489" s="21"/>
      <c r="P489" s="21"/>
      <c r="Q489" s="19">
        <v>60.0</v>
      </c>
      <c r="R489" s="21"/>
      <c r="S489" s="21"/>
      <c r="T489" s="19">
        <v>837.0</v>
      </c>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10"/>
    </row>
    <row r="490">
      <c r="A490" s="21"/>
      <c r="B490" s="21"/>
      <c r="C490" s="21"/>
      <c r="D490" s="21"/>
      <c r="E490" s="18">
        <v>12.0</v>
      </c>
      <c r="F490" s="19">
        <v>79.0</v>
      </c>
      <c r="G490" s="21"/>
      <c r="H490" s="21"/>
      <c r="I490" s="21"/>
      <c r="J490" s="21"/>
      <c r="K490" s="21"/>
      <c r="L490" s="21"/>
      <c r="M490" s="21"/>
      <c r="N490" s="21"/>
      <c r="O490" s="21"/>
      <c r="P490" s="21"/>
      <c r="Q490" s="19">
        <v>65.0</v>
      </c>
      <c r="R490" s="21"/>
      <c r="S490" s="21"/>
      <c r="T490" s="19">
        <v>920.0</v>
      </c>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10"/>
    </row>
    <row r="491">
      <c r="A491" s="22"/>
      <c r="B491" s="22"/>
      <c r="C491" s="22"/>
      <c r="D491" s="22"/>
      <c r="E491" s="18">
        <v>13.0</v>
      </c>
      <c r="F491" s="19">
        <v>87.0</v>
      </c>
      <c r="G491" s="22"/>
      <c r="H491" s="22"/>
      <c r="I491" s="22"/>
      <c r="J491" s="22"/>
      <c r="K491" s="22"/>
      <c r="L491" s="22"/>
      <c r="M491" s="22"/>
      <c r="N491" s="22"/>
      <c r="O491" s="22"/>
      <c r="P491" s="22"/>
      <c r="Q491" s="19">
        <v>72.0</v>
      </c>
      <c r="R491" s="22"/>
      <c r="S491" s="22"/>
      <c r="T491" s="19">
        <v>1011.0</v>
      </c>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10"/>
    </row>
    <row r="492">
      <c r="A492" s="16" t="s">
        <v>212</v>
      </c>
      <c r="B492" s="27" t="s">
        <v>101</v>
      </c>
      <c r="C492" s="16" t="s">
        <v>87</v>
      </c>
      <c r="D492" s="16">
        <v>9.0</v>
      </c>
      <c r="E492" s="32">
        <v>3.0</v>
      </c>
      <c r="F492" s="18">
        <v>103.0</v>
      </c>
      <c r="G492" s="16" t="s">
        <v>85</v>
      </c>
      <c r="H492" s="16" t="s">
        <v>85</v>
      </c>
      <c r="I492" s="16" t="s">
        <v>85</v>
      </c>
      <c r="J492" s="16" t="s">
        <v>85</v>
      </c>
      <c r="K492" s="16" t="s">
        <v>85</v>
      </c>
      <c r="L492" s="16" t="s">
        <v>85</v>
      </c>
      <c r="M492" s="16" t="s">
        <v>85</v>
      </c>
      <c r="N492" s="16" t="s">
        <v>85</v>
      </c>
      <c r="O492" s="16" t="s">
        <v>85</v>
      </c>
      <c r="P492" s="16" t="s">
        <v>85</v>
      </c>
      <c r="Q492" s="19">
        <v>93.0</v>
      </c>
      <c r="R492" s="16" t="s">
        <v>85</v>
      </c>
      <c r="S492" s="16" t="s">
        <v>85</v>
      </c>
      <c r="T492" s="18">
        <v>340.0</v>
      </c>
      <c r="U492" s="16" t="s">
        <v>85</v>
      </c>
      <c r="V492" s="16" t="s">
        <v>85</v>
      </c>
      <c r="W492" s="16" t="s">
        <v>85</v>
      </c>
      <c r="X492" s="16" t="s">
        <v>85</v>
      </c>
      <c r="Y492" s="16" t="s">
        <v>85</v>
      </c>
      <c r="Z492" s="16" t="s">
        <v>85</v>
      </c>
      <c r="AA492" s="16" t="s">
        <v>85</v>
      </c>
      <c r="AB492" s="16" t="s">
        <v>85</v>
      </c>
      <c r="AC492" s="16" t="s">
        <v>85</v>
      </c>
      <c r="AD492" s="16" t="s">
        <v>85</v>
      </c>
      <c r="AE492" s="16" t="s">
        <v>106</v>
      </c>
      <c r="AF492" s="16" t="s">
        <v>89</v>
      </c>
      <c r="AG492" s="16" t="s">
        <v>95</v>
      </c>
      <c r="AH492" s="16" t="s">
        <v>85</v>
      </c>
      <c r="AI492" s="16">
        <v>6.0</v>
      </c>
      <c r="AJ492" s="16" t="s">
        <v>85</v>
      </c>
      <c r="AK492" s="16" t="s">
        <v>85</v>
      </c>
      <c r="AL492" s="16" t="s">
        <v>85</v>
      </c>
      <c r="AM492" s="16" t="s">
        <v>92</v>
      </c>
      <c r="AN492" s="16" t="s">
        <v>85</v>
      </c>
      <c r="AO492" s="16" t="s">
        <v>85</v>
      </c>
      <c r="AP492" s="16" t="s">
        <v>85</v>
      </c>
      <c r="AQ492" s="16" t="s">
        <v>85</v>
      </c>
      <c r="AR492" s="16" t="s">
        <v>85</v>
      </c>
      <c r="AS492" s="16" t="s">
        <v>85</v>
      </c>
      <c r="AT492" s="16" t="s">
        <v>85</v>
      </c>
      <c r="AU492" s="16" t="s">
        <v>85</v>
      </c>
      <c r="AV492" s="16" t="s">
        <v>85</v>
      </c>
      <c r="AW492" s="16" t="s">
        <v>85</v>
      </c>
      <c r="AX492" s="16" t="s">
        <v>85</v>
      </c>
      <c r="AY492" s="16" t="s">
        <v>85</v>
      </c>
      <c r="AZ492" s="16" t="s">
        <v>85</v>
      </c>
      <c r="BA492" s="16" t="s">
        <v>85</v>
      </c>
      <c r="BB492" s="16" t="s">
        <v>85</v>
      </c>
      <c r="BC492" s="16" t="s">
        <v>85</v>
      </c>
      <c r="BD492" s="16" t="s">
        <v>85</v>
      </c>
      <c r="BE492" s="16" t="s">
        <v>85</v>
      </c>
      <c r="BF492" s="16" t="s">
        <v>85</v>
      </c>
      <c r="BG492" s="16" t="s">
        <v>85</v>
      </c>
      <c r="BH492" s="16" t="s">
        <v>85</v>
      </c>
      <c r="BI492" s="16" t="s">
        <v>85</v>
      </c>
      <c r="BJ492" s="16" t="s">
        <v>85</v>
      </c>
      <c r="BK492" s="10"/>
    </row>
    <row r="493">
      <c r="A493" s="21"/>
      <c r="B493" s="21"/>
      <c r="C493" s="21"/>
      <c r="D493" s="21"/>
      <c r="E493" s="32">
        <v>4.0</v>
      </c>
      <c r="F493" s="19">
        <v>113.0</v>
      </c>
      <c r="G493" s="21"/>
      <c r="H493" s="21"/>
      <c r="I493" s="21"/>
      <c r="J493" s="21"/>
      <c r="K493" s="21"/>
      <c r="L493" s="21"/>
      <c r="M493" s="21"/>
      <c r="N493" s="21"/>
      <c r="O493" s="21"/>
      <c r="P493" s="21"/>
      <c r="Q493" s="19">
        <v>102.0</v>
      </c>
      <c r="R493" s="21"/>
      <c r="S493" s="21"/>
      <c r="T493" s="18">
        <v>374.0</v>
      </c>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10"/>
    </row>
    <row r="494">
      <c r="A494" s="21"/>
      <c r="B494" s="21"/>
      <c r="C494" s="21"/>
      <c r="D494" s="21"/>
      <c r="E494" s="32">
        <v>5.0</v>
      </c>
      <c r="F494" s="19">
        <v>124.0</v>
      </c>
      <c r="G494" s="21"/>
      <c r="H494" s="21"/>
      <c r="I494" s="21"/>
      <c r="J494" s="21"/>
      <c r="K494" s="21"/>
      <c r="L494" s="21"/>
      <c r="M494" s="21"/>
      <c r="N494" s="21"/>
      <c r="O494" s="21"/>
      <c r="P494" s="21"/>
      <c r="Q494" s="19">
        <v>112.0</v>
      </c>
      <c r="R494" s="21"/>
      <c r="S494" s="21"/>
      <c r="T494" s="18">
        <v>411.0</v>
      </c>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10"/>
    </row>
    <row r="495">
      <c r="A495" s="21"/>
      <c r="B495" s="21"/>
      <c r="C495" s="21"/>
      <c r="D495" s="21"/>
      <c r="E495" s="32">
        <v>6.0</v>
      </c>
      <c r="F495" s="19">
        <v>136.0</v>
      </c>
      <c r="G495" s="21"/>
      <c r="H495" s="21"/>
      <c r="I495" s="21"/>
      <c r="J495" s="21"/>
      <c r="K495" s="21"/>
      <c r="L495" s="21"/>
      <c r="M495" s="21"/>
      <c r="N495" s="21"/>
      <c r="O495" s="21"/>
      <c r="P495" s="21"/>
      <c r="Q495" s="19">
        <v>123.0</v>
      </c>
      <c r="R495" s="21"/>
      <c r="S495" s="21"/>
      <c r="T495" s="18">
        <v>452.0</v>
      </c>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10"/>
    </row>
    <row r="496">
      <c r="A496" s="21"/>
      <c r="B496" s="21"/>
      <c r="C496" s="21"/>
      <c r="D496" s="21"/>
      <c r="E496" s="32">
        <v>7.0</v>
      </c>
      <c r="F496" s="19">
        <v>150.0</v>
      </c>
      <c r="G496" s="21"/>
      <c r="H496" s="21"/>
      <c r="I496" s="21"/>
      <c r="J496" s="21"/>
      <c r="K496" s="21"/>
      <c r="L496" s="21"/>
      <c r="M496" s="21"/>
      <c r="N496" s="21"/>
      <c r="O496" s="21"/>
      <c r="P496" s="21"/>
      <c r="Q496" s="19">
        <v>136.0</v>
      </c>
      <c r="R496" s="21"/>
      <c r="S496" s="21"/>
      <c r="T496" s="18">
        <v>496.0</v>
      </c>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10"/>
    </row>
    <row r="497">
      <c r="A497" s="21"/>
      <c r="B497" s="21"/>
      <c r="C497" s="21"/>
      <c r="D497" s="21"/>
      <c r="E497" s="32">
        <v>8.0</v>
      </c>
      <c r="F497" s="19">
        <v>164.0</v>
      </c>
      <c r="G497" s="21"/>
      <c r="H497" s="21"/>
      <c r="I497" s="21"/>
      <c r="J497" s="21"/>
      <c r="K497" s="21"/>
      <c r="L497" s="21"/>
      <c r="M497" s="21"/>
      <c r="N497" s="21"/>
      <c r="O497" s="21"/>
      <c r="P497" s="21"/>
      <c r="Q497" s="19">
        <v>149.0</v>
      </c>
      <c r="R497" s="21"/>
      <c r="S497" s="21"/>
      <c r="T497" s="18">
        <v>544.0</v>
      </c>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10"/>
    </row>
    <row r="498">
      <c r="A498" s="21"/>
      <c r="B498" s="21"/>
      <c r="C498" s="21"/>
      <c r="D498" s="21"/>
      <c r="E498" s="32">
        <v>9.0</v>
      </c>
      <c r="F498" s="19">
        <v>181.0</v>
      </c>
      <c r="G498" s="21"/>
      <c r="H498" s="21"/>
      <c r="I498" s="21"/>
      <c r="J498" s="21"/>
      <c r="K498" s="21"/>
      <c r="L498" s="21"/>
      <c r="M498" s="21"/>
      <c r="N498" s="21"/>
      <c r="O498" s="21"/>
      <c r="P498" s="21"/>
      <c r="Q498" s="19">
        <v>164.0</v>
      </c>
      <c r="R498" s="21"/>
      <c r="S498" s="21"/>
      <c r="T498" s="18">
        <v>598.0</v>
      </c>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10"/>
    </row>
    <row r="499">
      <c r="A499" s="21"/>
      <c r="B499" s="21"/>
      <c r="C499" s="21"/>
      <c r="D499" s="21"/>
      <c r="E499" s="32">
        <v>10.0</v>
      </c>
      <c r="F499" s="19">
        <v>198.0</v>
      </c>
      <c r="G499" s="21"/>
      <c r="H499" s="21"/>
      <c r="I499" s="21"/>
      <c r="J499" s="21"/>
      <c r="K499" s="21"/>
      <c r="L499" s="21"/>
      <c r="M499" s="21"/>
      <c r="N499" s="21"/>
      <c r="O499" s="21"/>
      <c r="P499" s="21"/>
      <c r="Q499" s="19">
        <v>180.0</v>
      </c>
      <c r="R499" s="21"/>
      <c r="S499" s="21"/>
      <c r="T499" s="18">
        <v>656.0</v>
      </c>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10"/>
    </row>
    <row r="500">
      <c r="A500" s="21"/>
      <c r="B500" s="21"/>
      <c r="C500" s="21"/>
      <c r="D500" s="21"/>
      <c r="E500" s="32">
        <v>11.0</v>
      </c>
      <c r="F500" s="19">
        <v>218.0</v>
      </c>
      <c r="G500" s="21"/>
      <c r="H500" s="21"/>
      <c r="I500" s="21"/>
      <c r="J500" s="21"/>
      <c r="K500" s="21"/>
      <c r="L500" s="21"/>
      <c r="M500" s="21"/>
      <c r="N500" s="21"/>
      <c r="O500" s="21"/>
      <c r="P500" s="21"/>
      <c r="Q500" s="19">
        <v>198.0</v>
      </c>
      <c r="R500" s="21"/>
      <c r="S500" s="21"/>
      <c r="T500" s="18">
        <v>720.0</v>
      </c>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10"/>
    </row>
    <row r="501">
      <c r="A501" s="21"/>
      <c r="B501" s="21"/>
      <c r="C501" s="21"/>
      <c r="D501" s="21"/>
      <c r="E501" s="32">
        <v>12.0</v>
      </c>
      <c r="F501" s="19">
        <v>239.0</v>
      </c>
      <c r="G501" s="21"/>
      <c r="H501" s="21"/>
      <c r="I501" s="21"/>
      <c r="J501" s="21"/>
      <c r="K501" s="21"/>
      <c r="L501" s="21"/>
      <c r="M501" s="21"/>
      <c r="N501" s="21"/>
      <c r="O501" s="21"/>
      <c r="P501" s="21"/>
      <c r="Q501" s="19">
        <v>217.0</v>
      </c>
      <c r="R501" s="21"/>
      <c r="S501" s="21"/>
      <c r="T501" s="18">
        <v>792.0</v>
      </c>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10"/>
    </row>
    <row r="502">
      <c r="A502" s="22"/>
      <c r="B502" s="22"/>
      <c r="C502" s="22"/>
      <c r="D502" s="22"/>
      <c r="E502" s="32">
        <v>13.0</v>
      </c>
      <c r="F502" s="19">
        <v>263.0</v>
      </c>
      <c r="G502" s="22"/>
      <c r="H502" s="22"/>
      <c r="I502" s="22"/>
      <c r="J502" s="22"/>
      <c r="K502" s="22"/>
      <c r="L502" s="22"/>
      <c r="M502" s="22"/>
      <c r="N502" s="22"/>
      <c r="O502" s="22"/>
      <c r="P502" s="22"/>
      <c r="Q502" s="19">
        <v>239.0</v>
      </c>
      <c r="R502" s="22"/>
      <c r="S502" s="22"/>
      <c r="T502" s="18">
        <v>870.0</v>
      </c>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10"/>
    </row>
    <row r="503">
      <c r="A503" s="16" t="s">
        <v>213</v>
      </c>
      <c r="B503" s="30" t="s">
        <v>131</v>
      </c>
      <c r="C503" s="16" t="s">
        <v>87</v>
      </c>
      <c r="D503" s="16">
        <v>4.0</v>
      </c>
      <c r="E503" s="32">
        <v>6.0</v>
      </c>
      <c r="F503" s="16" t="s">
        <v>85</v>
      </c>
      <c r="G503" s="18">
        <v>155.0</v>
      </c>
      <c r="H503" s="16" t="s">
        <v>85</v>
      </c>
      <c r="I503" s="18">
        <v>310.0</v>
      </c>
      <c r="J503" s="16" t="s">
        <v>85</v>
      </c>
      <c r="K503" s="16" t="s">
        <v>85</v>
      </c>
      <c r="L503" s="16" t="s">
        <v>85</v>
      </c>
      <c r="M503" s="16" t="s">
        <v>85</v>
      </c>
      <c r="N503" s="16" t="s">
        <v>85</v>
      </c>
      <c r="O503" s="16" t="s">
        <v>85</v>
      </c>
      <c r="P503" s="16" t="s">
        <v>85</v>
      </c>
      <c r="Q503" s="18">
        <v>119.0</v>
      </c>
      <c r="R503" s="16" t="s">
        <v>85</v>
      </c>
      <c r="S503" s="16" t="s">
        <v>85</v>
      </c>
      <c r="T503" s="18">
        <v>775.0</v>
      </c>
      <c r="U503" s="18">
        <v>150.0</v>
      </c>
      <c r="V503" s="16" t="s">
        <v>85</v>
      </c>
      <c r="W503" s="16" t="s">
        <v>85</v>
      </c>
      <c r="X503" s="16" t="s">
        <v>85</v>
      </c>
      <c r="Y503" s="16" t="s">
        <v>85</v>
      </c>
      <c r="Z503" s="16" t="s">
        <v>85</v>
      </c>
      <c r="AA503" s="16" t="s">
        <v>85</v>
      </c>
      <c r="AB503" s="16" t="s">
        <v>85</v>
      </c>
      <c r="AC503" s="16" t="s">
        <v>85</v>
      </c>
      <c r="AD503" s="16" t="s">
        <v>85</v>
      </c>
      <c r="AE503" s="16" t="s">
        <v>187</v>
      </c>
      <c r="AF503" s="16" t="s">
        <v>98</v>
      </c>
      <c r="AG503" s="16" t="s">
        <v>95</v>
      </c>
      <c r="AH503" s="16" t="s">
        <v>85</v>
      </c>
      <c r="AI503" s="16" t="s">
        <v>99</v>
      </c>
      <c r="AJ503" s="16" t="s">
        <v>85</v>
      </c>
      <c r="AK503" s="16" t="s">
        <v>85</v>
      </c>
      <c r="AL503" s="16" t="s">
        <v>85</v>
      </c>
      <c r="AM503" s="16" t="s">
        <v>85</v>
      </c>
      <c r="AN503" s="16" t="s">
        <v>85</v>
      </c>
      <c r="AO503" s="16" t="s">
        <v>85</v>
      </c>
      <c r="AP503" s="16" t="s">
        <v>85</v>
      </c>
      <c r="AQ503" s="16" t="s">
        <v>85</v>
      </c>
      <c r="AR503" s="16" t="s">
        <v>85</v>
      </c>
      <c r="AS503" s="16" t="s">
        <v>85</v>
      </c>
      <c r="AT503" s="16" t="s">
        <v>85</v>
      </c>
      <c r="AU503" s="16" t="s">
        <v>85</v>
      </c>
      <c r="AV503" s="16" t="s">
        <v>85</v>
      </c>
      <c r="AW503" s="16" t="s">
        <v>85</v>
      </c>
      <c r="AX503" s="16" t="s">
        <v>85</v>
      </c>
      <c r="AY503" s="16" t="s">
        <v>85</v>
      </c>
      <c r="AZ503" s="16" t="s">
        <v>85</v>
      </c>
      <c r="BA503" s="16" t="s">
        <v>85</v>
      </c>
      <c r="BB503" s="16" t="s">
        <v>85</v>
      </c>
      <c r="BC503" s="16" t="s">
        <v>85</v>
      </c>
      <c r="BD503" s="16" t="s">
        <v>85</v>
      </c>
      <c r="BE503" s="16" t="s">
        <v>85</v>
      </c>
      <c r="BF503" s="16" t="s">
        <v>85</v>
      </c>
      <c r="BG503" s="16" t="s">
        <v>85</v>
      </c>
      <c r="BH503" s="16" t="s">
        <v>85</v>
      </c>
      <c r="BI503" s="16" t="s">
        <v>85</v>
      </c>
      <c r="BJ503" s="16" t="s">
        <v>85</v>
      </c>
      <c r="BK503" s="10"/>
    </row>
    <row r="504">
      <c r="A504" s="21"/>
      <c r="B504" s="21"/>
      <c r="C504" s="21"/>
      <c r="D504" s="21"/>
      <c r="E504" s="32">
        <v>7.0</v>
      </c>
      <c r="F504" s="21"/>
      <c r="G504" s="18">
        <v>170.0</v>
      </c>
      <c r="H504" s="21"/>
      <c r="I504" s="18">
        <v>341.0</v>
      </c>
      <c r="J504" s="21"/>
      <c r="K504" s="21"/>
      <c r="L504" s="21"/>
      <c r="M504" s="21"/>
      <c r="N504" s="21"/>
      <c r="O504" s="21"/>
      <c r="P504" s="21"/>
      <c r="Q504" s="18">
        <v>130.0</v>
      </c>
      <c r="R504" s="21"/>
      <c r="S504" s="21"/>
      <c r="T504" s="26">
        <v>852.0</v>
      </c>
      <c r="U504" s="19">
        <v>165.0</v>
      </c>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10"/>
    </row>
    <row r="505">
      <c r="A505" s="21"/>
      <c r="B505" s="21"/>
      <c r="C505" s="21"/>
      <c r="D505" s="21"/>
      <c r="E505" s="32">
        <v>8.0</v>
      </c>
      <c r="F505" s="21"/>
      <c r="G505" s="18">
        <v>187.0</v>
      </c>
      <c r="H505" s="21"/>
      <c r="I505" s="18">
        <v>375.0</v>
      </c>
      <c r="J505" s="21"/>
      <c r="K505" s="21"/>
      <c r="L505" s="21"/>
      <c r="M505" s="21"/>
      <c r="N505" s="21"/>
      <c r="O505" s="21"/>
      <c r="P505" s="21"/>
      <c r="Q505" s="18">
        <v>143.0</v>
      </c>
      <c r="R505" s="21"/>
      <c r="S505" s="21"/>
      <c r="T505" s="26">
        <v>937.0</v>
      </c>
      <c r="U505" s="19">
        <v>181.0</v>
      </c>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10"/>
    </row>
    <row r="506">
      <c r="A506" s="21"/>
      <c r="B506" s="21"/>
      <c r="C506" s="21"/>
      <c r="D506" s="21"/>
      <c r="E506" s="32">
        <v>9.0</v>
      </c>
      <c r="F506" s="21"/>
      <c r="G506" s="18">
        <v>206.0</v>
      </c>
      <c r="H506" s="21"/>
      <c r="I506" s="18">
        <v>412.0</v>
      </c>
      <c r="J506" s="21"/>
      <c r="K506" s="21"/>
      <c r="L506" s="21"/>
      <c r="M506" s="21"/>
      <c r="N506" s="21"/>
      <c r="O506" s="21"/>
      <c r="P506" s="21"/>
      <c r="Q506" s="18">
        <v>158.0</v>
      </c>
      <c r="R506" s="21"/>
      <c r="S506" s="21"/>
      <c r="T506" s="26">
        <v>1030.0</v>
      </c>
      <c r="U506" s="19">
        <v>199.0</v>
      </c>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10"/>
    </row>
    <row r="507">
      <c r="A507" s="21"/>
      <c r="B507" s="21"/>
      <c r="C507" s="21"/>
      <c r="D507" s="21"/>
      <c r="E507" s="32">
        <v>10.0</v>
      </c>
      <c r="F507" s="21"/>
      <c r="G507" s="18">
        <v>226.0</v>
      </c>
      <c r="H507" s="21"/>
      <c r="I507" s="18">
        <v>452.0</v>
      </c>
      <c r="J507" s="21"/>
      <c r="K507" s="21"/>
      <c r="L507" s="21"/>
      <c r="M507" s="21"/>
      <c r="N507" s="21"/>
      <c r="O507" s="21"/>
      <c r="P507" s="21"/>
      <c r="Q507" s="18">
        <v>173.0</v>
      </c>
      <c r="R507" s="21"/>
      <c r="S507" s="21"/>
      <c r="T507" s="26">
        <v>1131.0</v>
      </c>
      <c r="U507" s="19">
        <v>219.0</v>
      </c>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c r="BI507" s="21"/>
      <c r="BJ507" s="21"/>
      <c r="BK507" s="10"/>
    </row>
    <row r="508">
      <c r="A508" s="21"/>
      <c r="B508" s="21"/>
      <c r="C508" s="21"/>
      <c r="D508" s="21"/>
      <c r="E508" s="32">
        <v>11.0</v>
      </c>
      <c r="F508" s="21"/>
      <c r="G508" s="18">
        <v>248.0</v>
      </c>
      <c r="H508" s="21"/>
      <c r="I508" s="18">
        <v>496.0</v>
      </c>
      <c r="J508" s="21"/>
      <c r="K508" s="21"/>
      <c r="L508" s="21"/>
      <c r="M508" s="21"/>
      <c r="N508" s="21"/>
      <c r="O508" s="21"/>
      <c r="P508" s="21"/>
      <c r="Q508" s="18">
        <v>190.0</v>
      </c>
      <c r="R508" s="21"/>
      <c r="S508" s="21"/>
      <c r="T508" s="26">
        <v>1240.0</v>
      </c>
      <c r="U508" s="19">
        <v>240.0</v>
      </c>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10"/>
    </row>
    <row r="509">
      <c r="A509" s="21"/>
      <c r="B509" s="21"/>
      <c r="C509" s="21"/>
      <c r="D509" s="21"/>
      <c r="E509" s="32">
        <v>12.0</v>
      </c>
      <c r="F509" s="21"/>
      <c r="G509" s="18">
        <v>272.0</v>
      </c>
      <c r="H509" s="21"/>
      <c r="I509" s="18">
        <v>545.0</v>
      </c>
      <c r="J509" s="21"/>
      <c r="K509" s="21"/>
      <c r="L509" s="21"/>
      <c r="M509" s="21"/>
      <c r="N509" s="21"/>
      <c r="O509" s="21"/>
      <c r="P509" s="21"/>
      <c r="Q509" s="18">
        <v>209.0</v>
      </c>
      <c r="R509" s="21"/>
      <c r="S509" s="21"/>
      <c r="T509" s="26">
        <v>1364.0</v>
      </c>
      <c r="U509" s="19">
        <v>264.0</v>
      </c>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10"/>
    </row>
    <row r="510">
      <c r="A510" s="22"/>
      <c r="B510" s="22"/>
      <c r="C510" s="22"/>
      <c r="D510" s="22"/>
      <c r="E510" s="32">
        <v>13.0</v>
      </c>
      <c r="F510" s="22"/>
      <c r="G510" s="18">
        <v>299.0</v>
      </c>
      <c r="H510" s="22"/>
      <c r="I510" s="18">
        <v>598.0</v>
      </c>
      <c r="J510" s="22"/>
      <c r="K510" s="22"/>
      <c r="L510" s="22"/>
      <c r="M510" s="22"/>
      <c r="N510" s="22"/>
      <c r="O510" s="22"/>
      <c r="P510" s="22"/>
      <c r="Q510" s="18">
        <v>230.0</v>
      </c>
      <c r="R510" s="22"/>
      <c r="S510" s="22"/>
      <c r="T510" s="26">
        <v>1495.0</v>
      </c>
      <c r="U510" s="19">
        <v>289.0</v>
      </c>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10"/>
    </row>
    <row r="511">
      <c r="A511" s="16" t="s">
        <v>214</v>
      </c>
      <c r="B511" s="30" t="s">
        <v>131</v>
      </c>
      <c r="C511" s="16" t="s">
        <v>87</v>
      </c>
      <c r="D511" s="16">
        <v>5.0</v>
      </c>
      <c r="E511" s="18">
        <v>6.0</v>
      </c>
      <c r="F511" s="18">
        <v>245.0</v>
      </c>
      <c r="G511" s="16" t="s">
        <v>85</v>
      </c>
      <c r="H511" s="16" t="s">
        <v>85</v>
      </c>
      <c r="I511" s="18">
        <v>490.0</v>
      </c>
      <c r="J511" s="16" t="s">
        <v>85</v>
      </c>
      <c r="K511" s="16" t="s">
        <v>85</v>
      </c>
      <c r="L511" s="16" t="s">
        <v>85</v>
      </c>
      <c r="M511" s="16" t="s">
        <v>85</v>
      </c>
      <c r="N511" s="16" t="s">
        <v>85</v>
      </c>
      <c r="O511" s="16" t="s">
        <v>85</v>
      </c>
      <c r="P511" s="16" t="s">
        <v>85</v>
      </c>
      <c r="Q511" s="18">
        <v>175.0</v>
      </c>
      <c r="R511" s="16" t="s">
        <v>85</v>
      </c>
      <c r="S511" s="16" t="s">
        <v>85</v>
      </c>
      <c r="T511" s="18">
        <v>1255.0</v>
      </c>
      <c r="U511" s="16" t="s">
        <v>85</v>
      </c>
      <c r="V511" s="16" t="s">
        <v>85</v>
      </c>
      <c r="W511" s="16" t="s">
        <v>85</v>
      </c>
      <c r="X511" s="16" t="s">
        <v>85</v>
      </c>
      <c r="Y511" s="16" t="s">
        <v>85</v>
      </c>
      <c r="Z511" s="16" t="s">
        <v>85</v>
      </c>
      <c r="AA511" s="16" t="s">
        <v>85</v>
      </c>
      <c r="AB511" s="16" t="s">
        <v>85</v>
      </c>
      <c r="AC511" s="16" t="s">
        <v>85</v>
      </c>
      <c r="AD511" s="16" t="s">
        <v>85</v>
      </c>
      <c r="AE511" s="16" t="s">
        <v>140</v>
      </c>
      <c r="AF511" s="16" t="s">
        <v>98</v>
      </c>
      <c r="AG511" s="16" t="s">
        <v>95</v>
      </c>
      <c r="AH511" s="16" t="s">
        <v>85</v>
      </c>
      <c r="AI511" s="16" t="s">
        <v>91</v>
      </c>
      <c r="AJ511" s="16" t="s">
        <v>85</v>
      </c>
      <c r="AK511" s="16" t="s">
        <v>85</v>
      </c>
      <c r="AL511" s="16" t="s">
        <v>85</v>
      </c>
      <c r="AM511" s="16" t="s">
        <v>85</v>
      </c>
      <c r="AN511" s="16" t="s">
        <v>85</v>
      </c>
      <c r="AO511" s="16" t="s">
        <v>85</v>
      </c>
      <c r="AP511" s="16" t="s">
        <v>85</v>
      </c>
      <c r="AQ511" s="16" t="s">
        <v>85</v>
      </c>
      <c r="AR511" s="16" t="s">
        <v>85</v>
      </c>
      <c r="AS511" s="16" t="s">
        <v>85</v>
      </c>
      <c r="AT511" s="16" t="s">
        <v>85</v>
      </c>
      <c r="AU511" s="16" t="s">
        <v>85</v>
      </c>
      <c r="AV511" s="16" t="s">
        <v>85</v>
      </c>
      <c r="AW511" s="16" t="s">
        <v>85</v>
      </c>
      <c r="AX511" s="16" t="s">
        <v>85</v>
      </c>
      <c r="AY511" s="16" t="s">
        <v>85</v>
      </c>
      <c r="AZ511" s="16" t="s">
        <v>85</v>
      </c>
      <c r="BA511" s="16" t="s">
        <v>85</v>
      </c>
      <c r="BB511" s="16" t="s">
        <v>85</v>
      </c>
      <c r="BC511" s="16" t="s">
        <v>85</v>
      </c>
      <c r="BD511" s="16" t="s">
        <v>85</v>
      </c>
      <c r="BE511" s="16" t="s">
        <v>85</v>
      </c>
      <c r="BF511" s="16" t="s">
        <v>85</v>
      </c>
      <c r="BG511" s="16" t="s">
        <v>85</v>
      </c>
      <c r="BH511" s="16" t="s">
        <v>85</v>
      </c>
      <c r="BI511" s="16" t="s">
        <v>85</v>
      </c>
      <c r="BJ511" s="16" t="s">
        <v>85</v>
      </c>
      <c r="BK511" s="20"/>
    </row>
    <row r="512">
      <c r="A512" s="21"/>
      <c r="B512" s="21"/>
      <c r="C512" s="21"/>
      <c r="D512" s="21"/>
      <c r="E512" s="18">
        <v>7.0</v>
      </c>
      <c r="F512" s="18">
        <v>269.0</v>
      </c>
      <c r="G512" s="21"/>
      <c r="H512" s="21"/>
      <c r="I512" s="18">
        <v>539.0</v>
      </c>
      <c r="J512" s="21"/>
      <c r="K512" s="21"/>
      <c r="L512" s="21"/>
      <c r="M512" s="21"/>
      <c r="N512" s="21"/>
      <c r="O512" s="21"/>
      <c r="P512" s="21"/>
      <c r="Q512" s="18">
        <v>192.0</v>
      </c>
      <c r="R512" s="21"/>
      <c r="S512" s="21"/>
      <c r="T512" s="19">
        <v>1380.0</v>
      </c>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0"/>
    </row>
    <row r="513">
      <c r="A513" s="21"/>
      <c r="B513" s="21"/>
      <c r="C513" s="21"/>
      <c r="D513" s="21"/>
      <c r="E513" s="18">
        <v>8.0</v>
      </c>
      <c r="F513" s="18">
        <v>296.0</v>
      </c>
      <c r="G513" s="21"/>
      <c r="H513" s="21"/>
      <c r="I513" s="18">
        <v>592.0</v>
      </c>
      <c r="J513" s="21"/>
      <c r="K513" s="21"/>
      <c r="L513" s="21"/>
      <c r="M513" s="21"/>
      <c r="N513" s="21"/>
      <c r="O513" s="21"/>
      <c r="P513" s="21"/>
      <c r="Q513" s="18">
        <v>211.0</v>
      </c>
      <c r="R513" s="21"/>
      <c r="S513" s="21"/>
      <c r="T513" s="19">
        <v>1518.0</v>
      </c>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0"/>
    </row>
    <row r="514">
      <c r="A514" s="21"/>
      <c r="B514" s="21"/>
      <c r="C514" s="21"/>
      <c r="D514" s="21"/>
      <c r="E514" s="18">
        <v>9.0</v>
      </c>
      <c r="F514" s="18">
        <v>325.0</v>
      </c>
      <c r="G514" s="21"/>
      <c r="H514" s="21"/>
      <c r="I514" s="18">
        <v>651.0</v>
      </c>
      <c r="J514" s="21"/>
      <c r="K514" s="21"/>
      <c r="L514" s="21"/>
      <c r="M514" s="21"/>
      <c r="N514" s="21"/>
      <c r="O514" s="21"/>
      <c r="P514" s="21"/>
      <c r="Q514" s="18">
        <v>232.0</v>
      </c>
      <c r="R514" s="21"/>
      <c r="S514" s="21"/>
      <c r="T514" s="19">
        <v>1669.0</v>
      </c>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c r="BI514" s="21"/>
      <c r="BJ514" s="21"/>
      <c r="BK514" s="20"/>
    </row>
    <row r="515">
      <c r="A515" s="21"/>
      <c r="B515" s="21"/>
      <c r="C515" s="21"/>
      <c r="D515" s="21"/>
      <c r="E515" s="18">
        <v>10.0</v>
      </c>
      <c r="F515" s="18">
        <v>357.0</v>
      </c>
      <c r="G515" s="21"/>
      <c r="H515" s="21"/>
      <c r="I515" s="18">
        <v>715.0</v>
      </c>
      <c r="J515" s="21"/>
      <c r="K515" s="21"/>
      <c r="L515" s="21"/>
      <c r="M515" s="21"/>
      <c r="N515" s="21"/>
      <c r="O515" s="21"/>
      <c r="P515" s="21"/>
      <c r="Q515" s="18">
        <v>255.0</v>
      </c>
      <c r="R515" s="21"/>
      <c r="S515" s="21"/>
      <c r="T515" s="19">
        <v>1832.0</v>
      </c>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0"/>
    </row>
    <row r="516">
      <c r="A516" s="21"/>
      <c r="B516" s="21"/>
      <c r="C516" s="21"/>
      <c r="D516" s="21"/>
      <c r="E516" s="18">
        <v>11.0</v>
      </c>
      <c r="F516" s="18">
        <v>392.0</v>
      </c>
      <c r="G516" s="21"/>
      <c r="H516" s="21"/>
      <c r="I516" s="18">
        <v>784.0</v>
      </c>
      <c r="J516" s="21"/>
      <c r="K516" s="21"/>
      <c r="L516" s="21"/>
      <c r="M516" s="21"/>
      <c r="N516" s="21"/>
      <c r="O516" s="21"/>
      <c r="P516" s="21"/>
      <c r="Q516" s="18">
        <v>280.0</v>
      </c>
      <c r="R516" s="21"/>
      <c r="S516" s="21"/>
      <c r="T516" s="19">
        <v>2008.0</v>
      </c>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0"/>
    </row>
    <row r="517">
      <c r="A517" s="21"/>
      <c r="B517" s="21"/>
      <c r="C517" s="21"/>
      <c r="D517" s="21"/>
      <c r="E517" s="18">
        <v>12.0</v>
      </c>
      <c r="F517" s="18">
        <v>431.0</v>
      </c>
      <c r="G517" s="21"/>
      <c r="H517" s="21"/>
      <c r="I517" s="18">
        <v>862.0</v>
      </c>
      <c r="J517" s="21"/>
      <c r="K517" s="21"/>
      <c r="L517" s="21"/>
      <c r="M517" s="21"/>
      <c r="N517" s="21"/>
      <c r="O517" s="21"/>
      <c r="P517" s="21"/>
      <c r="Q517" s="18">
        <v>307.0</v>
      </c>
      <c r="R517" s="21"/>
      <c r="S517" s="21"/>
      <c r="T517" s="19">
        <v>2208.0</v>
      </c>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c r="BI517" s="21"/>
      <c r="BJ517" s="21"/>
      <c r="BK517" s="20"/>
    </row>
    <row r="518">
      <c r="A518" s="22"/>
      <c r="B518" s="22"/>
      <c r="C518" s="22"/>
      <c r="D518" s="22"/>
      <c r="E518" s="18">
        <v>13.0</v>
      </c>
      <c r="F518" s="18">
        <v>472.0</v>
      </c>
      <c r="G518" s="22"/>
      <c r="H518" s="22"/>
      <c r="I518" s="18">
        <v>945.0</v>
      </c>
      <c r="J518" s="22"/>
      <c r="K518" s="22"/>
      <c r="L518" s="22"/>
      <c r="M518" s="22"/>
      <c r="N518" s="22"/>
      <c r="O518" s="22"/>
      <c r="P518" s="22"/>
      <c r="Q518" s="18">
        <v>337.0</v>
      </c>
      <c r="R518" s="22"/>
      <c r="S518" s="22"/>
      <c r="T518" s="19">
        <v>2422.0</v>
      </c>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0"/>
    </row>
    <row r="519">
      <c r="A519" s="16" t="s">
        <v>215</v>
      </c>
      <c r="B519" s="35" t="s">
        <v>181</v>
      </c>
      <c r="C519" s="16" t="s">
        <v>87</v>
      </c>
      <c r="D519" s="16">
        <v>7.0</v>
      </c>
      <c r="E519" s="18">
        <v>9.0</v>
      </c>
      <c r="F519" s="16" t="s">
        <v>85</v>
      </c>
      <c r="G519" s="18">
        <v>222.0</v>
      </c>
      <c r="H519" s="18">
        <v>444.0</v>
      </c>
      <c r="I519" s="16" t="s">
        <v>85</v>
      </c>
      <c r="J519" s="16" t="s">
        <v>85</v>
      </c>
      <c r="K519" s="18">
        <v>444.0</v>
      </c>
      <c r="L519" s="16" t="s">
        <v>85</v>
      </c>
      <c r="M519" s="16" t="s">
        <v>85</v>
      </c>
      <c r="N519" s="16" t="s">
        <v>85</v>
      </c>
      <c r="O519" s="16" t="s">
        <v>85</v>
      </c>
      <c r="P519" s="16" t="s">
        <v>85</v>
      </c>
      <c r="Q519" s="19">
        <v>130.0</v>
      </c>
      <c r="R519" s="16" t="s">
        <v>85</v>
      </c>
      <c r="S519" s="16" t="s">
        <v>85</v>
      </c>
      <c r="T519" s="18">
        <v>3300.0</v>
      </c>
      <c r="U519" s="16" t="s">
        <v>85</v>
      </c>
      <c r="V519" s="16" t="s">
        <v>85</v>
      </c>
      <c r="W519" s="16" t="s">
        <v>85</v>
      </c>
      <c r="X519" s="16" t="s">
        <v>85</v>
      </c>
      <c r="Y519" s="16" t="s">
        <v>85</v>
      </c>
      <c r="Z519" s="16" t="s">
        <v>216</v>
      </c>
      <c r="AA519" s="16" t="s">
        <v>85</v>
      </c>
      <c r="AB519" s="16" t="s">
        <v>85</v>
      </c>
      <c r="AC519" s="16" t="s">
        <v>85</v>
      </c>
      <c r="AD519" s="16" t="s">
        <v>85</v>
      </c>
      <c r="AE519" s="16" t="s">
        <v>103</v>
      </c>
      <c r="AF519" s="16" t="s">
        <v>98</v>
      </c>
      <c r="AG519" s="16" t="s">
        <v>95</v>
      </c>
      <c r="AH519" s="16" t="s">
        <v>85</v>
      </c>
      <c r="AI519" s="16" t="s">
        <v>99</v>
      </c>
      <c r="AJ519" s="16" t="s">
        <v>85</v>
      </c>
      <c r="AK519" s="16" t="s">
        <v>85</v>
      </c>
      <c r="AL519" s="16" t="s">
        <v>85</v>
      </c>
      <c r="AM519" s="16" t="s">
        <v>85</v>
      </c>
      <c r="AN519" s="16" t="s">
        <v>85</v>
      </c>
      <c r="AO519" s="16" t="s">
        <v>85</v>
      </c>
      <c r="AP519" s="16" t="s">
        <v>85</v>
      </c>
      <c r="AQ519" s="16" t="s">
        <v>85</v>
      </c>
      <c r="AR519" s="16" t="s">
        <v>85</v>
      </c>
      <c r="AS519" s="16" t="s">
        <v>85</v>
      </c>
      <c r="AT519" s="16" t="s">
        <v>85</v>
      </c>
      <c r="AU519" s="16" t="s">
        <v>85</v>
      </c>
      <c r="AV519" s="16" t="s">
        <v>85</v>
      </c>
      <c r="AW519" s="16" t="s">
        <v>85</v>
      </c>
      <c r="AX519" s="16" t="s">
        <v>85</v>
      </c>
      <c r="AY519" s="16" t="s">
        <v>85</v>
      </c>
      <c r="AZ519" s="16" t="s">
        <v>85</v>
      </c>
      <c r="BA519" s="16" t="s">
        <v>85</v>
      </c>
      <c r="BB519" s="16" t="s">
        <v>85</v>
      </c>
      <c r="BC519" s="16" t="s">
        <v>85</v>
      </c>
      <c r="BD519" s="16" t="s">
        <v>85</v>
      </c>
      <c r="BE519" s="16" t="s">
        <v>85</v>
      </c>
      <c r="BF519" s="16" t="s">
        <v>85</v>
      </c>
      <c r="BG519" s="16" t="s">
        <v>85</v>
      </c>
      <c r="BH519" s="16" t="s">
        <v>85</v>
      </c>
      <c r="BI519" s="16" t="s">
        <v>85</v>
      </c>
      <c r="BJ519" s="16" t="s">
        <v>85</v>
      </c>
      <c r="BK519" s="10"/>
    </row>
    <row r="520">
      <c r="A520" s="21"/>
      <c r="B520" s="21"/>
      <c r="C520" s="21"/>
      <c r="D520" s="21"/>
      <c r="E520" s="18">
        <v>10.0</v>
      </c>
      <c r="F520" s="21"/>
      <c r="G520" s="19">
        <v>244.0</v>
      </c>
      <c r="H520" s="26">
        <v>488.0</v>
      </c>
      <c r="I520" s="21"/>
      <c r="J520" s="21"/>
      <c r="K520" s="19">
        <v>488.0</v>
      </c>
      <c r="L520" s="21"/>
      <c r="M520" s="21"/>
      <c r="N520" s="21"/>
      <c r="O520" s="21"/>
      <c r="P520" s="21"/>
      <c r="Q520" s="19">
        <v>143.0</v>
      </c>
      <c r="R520" s="21"/>
      <c r="S520" s="21"/>
      <c r="T520" s="18">
        <v>3630.0</v>
      </c>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10"/>
    </row>
    <row r="521">
      <c r="A521" s="21"/>
      <c r="B521" s="21"/>
      <c r="C521" s="21"/>
      <c r="D521" s="21"/>
      <c r="E521" s="18">
        <v>11.0</v>
      </c>
      <c r="F521" s="21"/>
      <c r="G521" s="19">
        <v>268.0</v>
      </c>
      <c r="H521" s="26">
        <v>537.0</v>
      </c>
      <c r="I521" s="21"/>
      <c r="J521" s="21"/>
      <c r="K521" s="19">
        <v>537.0</v>
      </c>
      <c r="L521" s="21"/>
      <c r="M521" s="21"/>
      <c r="N521" s="21"/>
      <c r="O521" s="21"/>
      <c r="P521" s="21"/>
      <c r="Q521" s="19">
        <v>157.0</v>
      </c>
      <c r="R521" s="21"/>
      <c r="S521" s="21"/>
      <c r="T521" s="18">
        <v>3993.0</v>
      </c>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10"/>
    </row>
    <row r="522">
      <c r="A522" s="21"/>
      <c r="B522" s="21"/>
      <c r="C522" s="21"/>
      <c r="D522" s="21"/>
      <c r="E522" s="18">
        <v>12.0</v>
      </c>
      <c r="F522" s="21"/>
      <c r="G522" s="19">
        <v>295.0</v>
      </c>
      <c r="H522" s="26">
        <v>590.0</v>
      </c>
      <c r="I522" s="21"/>
      <c r="J522" s="21"/>
      <c r="K522" s="19">
        <v>590.0</v>
      </c>
      <c r="L522" s="21"/>
      <c r="M522" s="21"/>
      <c r="N522" s="21"/>
      <c r="O522" s="21"/>
      <c r="P522" s="21"/>
      <c r="Q522" s="19">
        <v>173.0</v>
      </c>
      <c r="R522" s="21"/>
      <c r="S522" s="21"/>
      <c r="T522" s="18">
        <v>4389.0</v>
      </c>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10"/>
    </row>
    <row r="523">
      <c r="A523" s="22"/>
      <c r="B523" s="22"/>
      <c r="C523" s="22"/>
      <c r="D523" s="22"/>
      <c r="E523" s="18">
        <v>13.0</v>
      </c>
      <c r="F523" s="22"/>
      <c r="G523" s="19">
        <v>324.0</v>
      </c>
      <c r="H523" s="26">
        <v>648.0</v>
      </c>
      <c r="I523" s="22"/>
      <c r="J523" s="22"/>
      <c r="K523" s="19">
        <v>648.0</v>
      </c>
      <c r="L523" s="22"/>
      <c r="M523" s="22"/>
      <c r="N523" s="22"/>
      <c r="O523" s="22"/>
      <c r="P523" s="22"/>
      <c r="Q523" s="19">
        <v>190.0</v>
      </c>
      <c r="R523" s="22"/>
      <c r="S523" s="22"/>
      <c r="T523" s="18">
        <v>4818.0</v>
      </c>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10"/>
    </row>
    <row r="524">
      <c r="A524" s="12" t="s">
        <v>217</v>
      </c>
      <c r="B524" s="13" t="s">
        <v>218</v>
      </c>
      <c r="C524" s="14"/>
      <c r="D524" s="14"/>
      <c r="E524" s="15"/>
      <c r="F524" s="29"/>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5"/>
      <c r="BK524" s="10"/>
    </row>
    <row r="525">
      <c r="A525" s="16" t="s">
        <v>219</v>
      </c>
      <c r="B525" s="17" t="s">
        <v>83</v>
      </c>
      <c r="C525" s="16" t="s">
        <v>84</v>
      </c>
      <c r="D525" s="16">
        <v>2.0</v>
      </c>
      <c r="E525" s="18">
        <v>1.0</v>
      </c>
      <c r="F525" s="16" t="s">
        <v>85</v>
      </c>
      <c r="G525" s="18">
        <v>75.0</v>
      </c>
      <c r="H525" s="16" t="s">
        <v>85</v>
      </c>
      <c r="I525" s="16" t="s">
        <v>85</v>
      </c>
      <c r="J525" s="16" t="s">
        <v>85</v>
      </c>
      <c r="K525" s="16" t="s">
        <v>85</v>
      </c>
      <c r="L525" s="16" t="s">
        <v>85</v>
      </c>
      <c r="M525" s="18">
        <v>23.0</v>
      </c>
      <c r="N525" s="16" t="s">
        <v>85</v>
      </c>
      <c r="O525" s="16" t="s">
        <v>85</v>
      </c>
      <c r="P525" s="16" t="s">
        <v>85</v>
      </c>
      <c r="Q525" s="16" t="s">
        <v>85</v>
      </c>
      <c r="R525" s="16" t="s">
        <v>85</v>
      </c>
      <c r="S525" s="16" t="s">
        <v>85</v>
      </c>
      <c r="T525" s="16" t="s">
        <v>85</v>
      </c>
      <c r="U525" s="16" t="s">
        <v>85</v>
      </c>
      <c r="V525" s="16" t="s">
        <v>85</v>
      </c>
      <c r="W525" s="16" t="s">
        <v>85</v>
      </c>
      <c r="X525" s="16" t="s">
        <v>85</v>
      </c>
      <c r="Y525" s="16" t="s">
        <v>85</v>
      </c>
      <c r="Z525" s="16" t="s">
        <v>85</v>
      </c>
      <c r="AA525" s="16" t="s">
        <v>85</v>
      </c>
      <c r="AB525" s="16" t="s">
        <v>85</v>
      </c>
      <c r="AC525" s="16" t="s">
        <v>85</v>
      </c>
      <c r="AD525" s="16" t="s">
        <v>85</v>
      </c>
      <c r="AE525" s="16" t="s">
        <v>85</v>
      </c>
      <c r="AF525" s="16" t="s">
        <v>85</v>
      </c>
      <c r="AG525" s="16" t="s">
        <v>85</v>
      </c>
      <c r="AH525" s="16" t="s">
        <v>85</v>
      </c>
      <c r="AI525" s="16" t="s">
        <v>85</v>
      </c>
      <c r="AJ525" s="16" t="s">
        <v>85</v>
      </c>
      <c r="AK525" s="16" t="s">
        <v>85</v>
      </c>
      <c r="AL525" s="16" t="s">
        <v>85</v>
      </c>
      <c r="AM525" s="16" t="s">
        <v>85</v>
      </c>
      <c r="AN525" s="16" t="s">
        <v>85</v>
      </c>
      <c r="AO525" s="16" t="s">
        <v>85</v>
      </c>
      <c r="AP525" s="16" t="s">
        <v>85</v>
      </c>
      <c r="AQ525" s="16" t="s">
        <v>85</v>
      </c>
      <c r="AR525" s="16" t="s">
        <v>85</v>
      </c>
      <c r="AS525" s="16" t="s">
        <v>85</v>
      </c>
      <c r="AT525" s="16" t="s">
        <v>85</v>
      </c>
      <c r="AU525" s="16" t="s">
        <v>220</v>
      </c>
      <c r="AV525" s="16" t="s">
        <v>85</v>
      </c>
      <c r="AW525" s="16" t="s">
        <v>85</v>
      </c>
      <c r="AX525" s="16" t="s">
        <v>85</v>
      </c>
      <c r="AY525" s="16" t="s">
        <v>85</v>
      </c>
      <c r="AZ525" s="16" t="s">
        <v>85</v>
      </c>
      <c r="BA525" s="16" t="s">
        <v>85</v>
      </c>
      <c r="BB525" s="16" t="s">
        <v>85</v>
      </c>
      <c r="BC525" s="16" t="s">
        <v>85</v>
      </c>
      <c r="BD525" s="16" t="s">
        <v>85</v>
      </c>
      <c r="BE525" s="16" t="s">
        <v>85</v>
      </c>
      <c r="BF525" s="16" t="s">
        <v>85</v>
      </c>
      <c r="BG525" s="16" t="s">
        <v>85</v>
      </c>
      <c r="BH525" s="16" t="s">
        <v>85</v>
      </c>
      <c r="BI525" s="16" t="s">
        <v>85</v>
      </c>
      <c r="BJ525" s="16">
        <v>2.5</v>
      </c>
      <c r="BK525" s="10"/>
    </row>
    <row r="526">
      <c r="A526" s="21"/>
      <c r="B526" s="21"/>
      <c r="C526" s="21"/>
      <c r="D526" s="21"/>
      <c r="E526" s="18">
        <v>2.0</v>
      </c>
      <c r="F526" s="21"/>
      <c r="G526" s="19">
        <v>82.0</v>
      </c>
      <c r="H526" s="21"/>
      <c r="I526" s="21"/>
      <c r="J526" s="21"/>
      <c r="K526" s="21"/>
      <c r="L526" s="21"/>
      <c r="M526" s="18">
        <v>25.0</v>
      </c>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10"/>
    </row>
    <row r="527">
      <c r="A527" s="21"/>
      <c r="B527" s="21"/>
      <c r="C527" s="21"/>
      <c r="D527" s="21"/>
      <c r="E527" s="18">
        <v>3.0</v>
      </c>
      <c r="F527" s="21"/>
      <c r="G527" s="19">
        <v>90.0</v>
      </c>
      <c r="H527" s="21"/>
      <c r="I527" s="21"/>
      <c r="J527" s="21"/>
      <c r="K527" s="21"/>
      <c r="L527" s="21"/>
      <c r="M527" s="18">
        <v>27.0</v>
      </c>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c r="BE527" s="21"/>
      <c r="BF527" s="21"/>
      <c r="BG527" s="21"/>
      <c r="BH527" s="21"/>
      <c r="BI527" s="21"/>
      <c r="BJ527" s="21"/>
      <c r="BK527" s="10"/>
    </row>
    <row r="528">
      <c r="A528" s="21"/>
      <c r="B528" s="21"/>
      <c r="C528" s="21"/>
      <c r="D528" s="21"/>
      <c r="E528" s="18">
        <v>4.0</v>
      </c>
      <c r="F528" s="21"/>
      <c r="G528" s="19">
        <v>99.0</v>
      </c>
      <c r="H528" s="21"/>
      <c r="I528" s="21"/>
      <c r="J528" s="21"/>
      <c r="K528" s="21"/>
      <c r="L528" s="21"/>
      <c r="M528" s="18">
        <v>30.0</v>
      </c>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10"/>
    </row>
    <row r="529">
      <c r="A529" s="21"/>
      <c r="B529" s="21"/>
      <c r="C529" s="21"/>
      <c r="D529" s="21"/>
      <c r="E529" s="18">
        <v>5.0</v>
      </c>
      <c r="F529" s="21"/>
      <c r="G529" s="19">
        <v>109.0</v>
      </c>
      <c r="H529" s="21"/>
      <c r="I529" s="21"/>
      <c r="J529" s="21"/>
      <c r="K529" s="21"/>
      <c r="L529" s="21"/>
      <c r="M529" s="18">
        <v>33.0</v>
      </c>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c r="BE529" s="21"/>
      <c r="BF529" s="21"/>
      <c r="BG529" s="21"/>
      <c r="BH529" s="21"/>
      <c r="BI529" s="21"/>
      <c r="BJ529" s="21"/>
      <c r="BK529" s="10"/>
    </row>
    <row r="530">
      <c r="A530" s="21"/>
      <c r="B530" s="21"/>
      <c r="C530" s="21"/>
      <c r="D530" s="21"/>
      <c r="E530" s="18">
        <v>6.0</v>
      </c>
      <c r="F530" s="21"/>
      <c r="G530" s="19">
        <v>120.0</v>
      </c>
      <c r="H530" s="21"/>
      <c r="I530" s="21"/>
      <c r="J530" s="21"/>
      <c r="K530" s="21"/>
      <c r="L530" s="21"/>
      <c r="M530" s="18">
        <v>36.0</v>
      </c>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10"/>
    </row>
    <row r="531">
      <c r="A531" s="21"/>
      <c r="B531" s="21"/>
      <c r="C531" s="21"/>
      <c r="D531" s="21"/>
      <c r="E531" s="18">
        <v>7.0</v>
      </c>
      <c r="F531" s="21"/>
      <c r="G531" s="19">
        <v>132.0</v>
      </c>
      <c r="H531" s="21"/>
      <c r="I531" s="21"/>
      <c r="J531" s="21"/>
      <c r="K531" s="21"/>
      <c r="L531" s="21"/>
      <c r="M531" s="18">
        <v>40.0</v>
      </c>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10"/>
    </row>
    <row r="532">
      <c r="A532" s="21"/>
      <c r="B532" s="21"/>
      <c r="C532" s="21"/>
      <c r="D532" s="21"/>
      <c r="E532" s="18">
        <v>8.0</v>
      </c>
      <c r="F532" s="21"/>
      <c r="G532" s="19">
        <v>144.0</v>
      </c>
      <c r="H532" s="21"/>
      <c r="I532" s="21"/>
      <c r="J532" s="21"/>
      <c r="K532" s="21"/>
      <c r="L532" s="21"/>
      <c r="M532" s="18">
        <v>44.0</v>
      </c>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10"/>
    </row>
    <row r="533">
      <c r="A533" s="21"/>
      <c r="B533" s="21"/>
      <c r="C533" s="21"/>
      <c r="D533" s="21"/>
      <c r="E533" s="18">
        <v>9.0</v>
      </c>
      <c r="F533" s="21"/>
      <c r="G533" s="19">
        <v>159.0</v>
      </c>
      <c r="H533" s="21"/>
      <c r="I533" s="21"/>
      <c r="J533" s="21"/>
      <c r="K533" s="21"/>
      <c r="L533" s="21"/>
      <c r="M533" s="18">
        <v>48.0</v>
      </c>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10"/>
    </row>
    <row r="534">
      <c r="A534" s="21"/>
      <c r="B534" s="21"/>
      <c r="C534" s="21"/>
      <c r="D534" s="21"/>
      <c r="E534" s="18">
        <v>10.0</v>
      </c>
      <c r="F534" s="21"/>
      <c r="G534" s="19">
        <v>174.0</v>
      </c>
      <c r="H534" s="21"/>
      <c r="I534" s="21"/>
      <c r="J534" s="21"/>
      <c r="K534" s="21"/>
      <c r="L534" s="21"/>
      <c r="M534" s="18">
        <v>53.0</v>
      </c>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c r="BE534" s="21"/>
      <c r="BF534" s="21"/>
      <c r="BG534" s="21"/>
      <c r="BH534" s="21"/>
      <c r="BI534" s="21"/>
      <c r="BJ534" s="21"/>
      <c r="BK534" s="10"/>
    </row>
    <row r="535">
      <c r="A535" s="21"/>
      <c r="B535" s="21"/>
      <c r="C535" s="21"/>
      <c r="D535" s="21"/>
      <c r="E535" s="18">
        <v>11.0</v>
      </c>
      <c r="F535" s="21"/>
      <c r="G535" s="19">
        <v>192.0</v>
      </c>
      <c r="H535" s="21"/>
      <c r="I535" s="21"/>
      <c r="J535" s="21"/>
      <c r="K535" s="21"/>
      <c r="L535" s="21"/>
      <c r="M535" s="18">
        <v>58.0</v>
      </c>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c r="BE535" s="21"/>
      <c r="BF535" s="21"/>
      <c r="BG535" s="21"/>
      <c r="BH535" s="21"/>
      <c r="BI535" s="21"/>
      <c r="BJ535" s="21"/>
      <c r="BK535" s="10"/>
    </row>
    <row r="536">
      <c r="A536" s="21"/>
      <c r="B536" s="21"/>
      <c r="C536" s="21"/>
      <c r="D536" s="21"/>
      <c r="E536" s="18">
        <v>12.0</v>
      </c>
      <c r="F536" s="21"/>
      <c r="G536" s="19">
        <v>210.0</v>
      </c>
      <c r="H536" s="21"/>
      <c r="I536" s="21"/>
      <c r="J536" s="21"/>
      <c r="K536" s="21"/>
      <c r="L536" s="21"/>
      <c r="M536" s="18">
        <v>63.0</v>
      </c>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c r="BE536" s="21"/>
      <c r="BF536" s="21"/>
      <c r="BG536" s="21"/>
      <c r="BH536" s="21"/>
      <c r="BI536" s="21"/>
      <c r="BJ536" s="21"/>
      <c r="BK536" s="10"/>
    </row>
    <row r="537">
      <c r="A537" s="22"/>
      <c r="B537" s="22"/>
      <c r="C537" s="22"/>
      <c r="D537" s="22"/>
      <c r="E537" s="18">
        <v>13.0</v>
      </c>
      <c r="F537" s="22"/>
      <c r="G537" s="19">
        <v>231.0</v>
      </c>
      <c r="H537" s="22"/>
      <c r="I537" s="22"/>
      <c r="J537" s="22"/>
      <c r="K537" s="22"/>
      <c r="L537" s="22"/>
      <c r="M537" s="18">
        <v>70.0</v>
      </c>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10"/>
    </row>
    <row r="538">
      <c r="A538" s="16" t="s">
        <v>221</v>
      </c>
      <c r="B538" s="17" t="s">
        <v>83</v>
      </c>
      <c r="C538" s="16" t="s">
        <v>87</v>
      </c>
      <c r="D538" s="16">
        <v>1.0</v>
      </c>
      <c r="E538" s="32">
        <v>1.0</v>
      </c>
      <c r="F538" s="16" t="s">
        <v>85</v>
      </c>
      <c r="G538" s="18">
        <v>43.0</v>
      </c>
      <c r="H538" s="16" t="s">
        <v>85</v>
      </c>
      <c r="I538" s="16" t="s">
        <v>85</v>
      </c>
      <c r="J538" s="16" t="s">
        <v>85</v>
      </c>
      <c r="K538" s="16" t="s">
        <v>85</v>
      </c>
      <c r="L538" s="16" t="s">
        <v>85</v>
      </c>
      <c r="M538" s="16" t="s">
        <v>85</v>
      </c>
      <c r="N538" s="16" t="s">
        <v>85</v>
      </c>
      <c r="O538" s="16" t="s">
        <v>85</v>
      </c>
      <c r="P538" s="16" t="s">
        <v>85</v>
      </c>
      <c r="Q538" s="16" t="s">
        <v>85</v>
      </c>
      <c r="R538" s="16" t="s">
        <v>85</v>
      </c>
      <c r="S538" s="16" t="s">
        <v>85</v>
      </c>
      <c r="T538" s="18">
        <v>90.0</v>
      </c>
      <c r="U538" s="16" t="s">
        <v>85</v>
      </c>
      <c r="V538" s="16" t="s">
        <v>85</v>
      </c>
      <c r="W538" s="16" t="s">
        <v>85</v>
      </c>
      <c r="X538" s="16" t="s">
        <v>85</v>
      </c>
      <c r="Y538" s="16" t="s">
        <v>85</v>
      </c>
      <c r="Z538" s="16" t="s">
        <v>85</v>
      </c>
      <c r="AA538" s="16" t="s">
        <v>85</v>
      </c>
      <c r="AB538" s="16" t="s">
        <v>85</v>
      </c>
      <c r="AC538" s="16" t="s">
        <v>85</v>
      </c>
      <c r="AD538" s="16" t="s">
        <v>85</v>
      </c>
      <c r="AE538" s="16" t="s">
        <v>85</v>
      </c>
      <c r="AF538" s="16" t="s">
        <v>89</v>
      </c>
      <c r="AG538" s="16" t="s">
        <v>114</v>
      </c>
      <c r="AH538" s="16" t="s">
        <v>85</v>
      </c>
      <c r="AI538" s="16">
        <v>2.5</v>
      </c>
      <c r="AJ538" s="16" t="s">
        <v>85</v>
      </c>
      <c r="AK538" s="16" t="s">
        <v>85</v>
      </c>
      <c r="AL538" s="16" t="s">
        <v>85</v>
      </c>
      <c r="AM538" s="16" t="s">
        <v>85</v>
      </c>
      <c r="AN538" s="16" t="s">
        <v>85</v>
      </c>
      <c r="AO538" s="16" t="s">
        <v>85</v>
      </c>
      <c r="AP538" s="16" t="s">
        <v>85</v>
      </c>
      <c r="AQ538" s="16" t="s">
        <v>85</v>
      </c>
      <c r="AR538" s="16" t="s">
        <v>85</v>
      </c>
      <c r="AS538" s="16" t="s">
        <v>85</v>
      </c>
      <c r="AT538" s="16" t="s">
        <v>88</v>
      </c>
      <c r="AU538" s="16" t="s">
        <v>85</v>
      </c>
      <c r="AV538" s="16" t="s">
        <v>85</v>
      </c>
      <c r="AW538" s="16" t="s">
        <v>85</v>
      </c>
      <c r="AX538" s="16" t="s">
        <v>85</v>
      </c>
      <c r="AY538" s="16" t="s">
        <v>85</v>
      </c>
      <c r="AZ538" s="16" t="s">
        <v>85</v>
      </c>
      <c r="BA538" s="16" t="s">
        <v>85</v>
      </c>
      <c r="BB538" s="16" t="s">
        <v>85</v>
      </c>
      <c r="BC538" s="16" t="s">
        <v>85</v>
      </c>
      <c r="BD538" s="16" t="s">
        <v>85</v>
      </c>
      <c r="BE538" s="16" t="s">
        <v>85</v>
      </c>
      <c r="BF538" s="16" t="s">
        <v>85</v>
      </c>
      <c r="BG538" s="16" t="s">
        <v>85</v>
      </c>
      <c r="BH538" s="16" t="s">
        <v>85</v>
      </c>
      <c r="BI538" s="16" t="s">
        <v>85</v>
      </c>
      <c r="BJ538" s="16" t="s">
        <v>85</v>
      </c>
      <c r="BK538" s="10"/>
    </row>
    <row r="539">
      <c r="A539" s="21"/>
      <c r="B539" s="21"/>
      <c r="C539" s="21"/>
      <c r="D539" s="21"/>
      <c r="E539" s="32">
        <v>2.0</v>
      </c>
      <c r="F539" s="21"/>
      <c r="G539" s="19">
        <v>47.0</v>
      </c>
      <c r="H539" s="21"/>
      <c r="I539" s="21"/>
      <c r="J539" s="21"/>
      <c r="K539" s="21"/>
      <c r="L539" s="21"/>
      <c r="M539" s="21"/>
      <c r="N539" s="21"/>
      <c r="O539" s="21"/>
      <c r="P539" s="21"/>
      <c r="Q539" s="21"/>
      <c r="R539" s="21"/>
      <c r="S539" s="21"/>
      <c r="T539" s="18">
        <v>99.0</v>
      </c>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10"/>
    </row>
    <row r="540">
      <c r="A540" s="21"/>
      <c r="B540" s="21"/>
      <c r="C540" s="21"/>
      <c r="D540" s="21"/>
      <c r="E540" s="32">
        <v>3.0</v>
      </c>
      <c r="F540" s="21"/>
      <c r="G540" s="19">
        <v>52.0</v>
      </c>
      <c r="H540" s="21"/>
      <c r="I540" s="21"/>
      <c r="J540" s="21"/>
      <c r="K540" s="21"/>
      <c r="L540" s="21"/>
      <c r="M540" s="21"/>
      <c r="N540" s="21"/>
      <c r="O540" s="21"/>
      <c r="P540" s="21"/>
      <c r="Q540" s="21"/>
      <c r="R540" s="21"/>
      <c r="S540" s="21"/>
      <c r="T540" s="18">
        <v>108.0</v>
      </c>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10"/>
    </row>
    <row r="541">
      <c r="A541" s="21"/>
      <c r="B541" s="21"/>
      <c r="C541" s="21"/>
      <c r="D541" s="21"/>
      <c r="E541" s="32">
        <v>4.0</v>
      </c>
      <c r="F541" s="21"/>
      <c r="G541" s="19">
        <v>57.0</v>
      </c>
      <c r="H541" s="21"/>
      <c r="I541" s="21"/>
      <c r="J541" s="21"/>
      <c r="K541" s="21"/>
      <c r="L541" s="21"/>
      <c r="M541" s="21"/>
      <c r="N541" s="21"/>
      <c r="O541" s="21"/>
      <c r="P541" s="21"/>
      <c r="Q541" s="21"/>
      <c r="R541" s="21"/>
      <c r="S541" s="21"/>
      <c r="T541" s="18">
        <v>119.0</v>
      </c>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10"/>
    </row>
    <row r="542">
      <c r="A542" s="21"/>
      <c r="B542" s="21"/>
      <c r="C542" s="21"/>
      <c r="D542" s="21"/>
      <c r="E542" s="32">
        <v>5.0</v>
      </c>
      <c r="F542" s="21"/>
      <c r="G542" s="19">
        <v>62.0</v>
      </c>
      <c r="H542" s="21"/>
      <c r="I542" s="21"/>
      <c r="J542" s="21"/>
      <c r="K542" s="21"/>
      <c r="L542" s="21"/>
      <c r="M542" s="21"/>
      <c r="N542" s="21"/>
      <c r="O542" s="21"/>
      <c r="P542" s="21"/>
      <c r="Q542" s="21"/>
      <c r="R542" s="21"/>
      <c r="S542" s="21"/>
      <c r="T542" s="18">
        <v>131.0</v>
      </c>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10"/>
    </row>
    <row r="543">
      <c r="A543" s="21"/>
      <c r="B543" s="21"/>
      <c r="C543" s="21"/>
      <c r="D543" s="21"/>
      <c r="E543" s="32">
        <v>6.0</v>
      </c>
      <c r="F543" s="21"/>
      <c r="G543" s="19">
        <v>68.0</v>
      </c>
      <c r="H543" s="21"/>
      <c r="I543" s="21"/>
      <c r="J543" s="21"/>
      <c r="K543" s="21"/>
      <c r="L543" s="21"/>
      <c r="M543" s="21"/>
      <c r="N543" s="21"/>
      <c r="O543" s="21"/>
      <c r="P543" s="21"/>
      <c r="Q543" s="21"/>
      <c r="R543" s="21"/>
      <c r="S543" s="21"/>
      <c r="T543" s="18">
        <v>144.0</v>
      </c>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10"/>
    </row>
    <row r="544">
      <c r="A544" s="21"/>
      <c r="B544" s="21"/>
      <c r="C544" s="21"/>
      <c r="D544" s="21"/>
      <c r="E544" s="32">
        <v>7.0</v>
      </c>
      <c r="F544" s="21"/>
      <c r="G544" s="19">
        <v>75.0</v>
      </c>
      <c r="H544" s="21"/>
      <c r="I544" s="21"/>
      <c r="J544" s="21"/>
      <c r="K544" s="21"/>
      <c r="L544" s="21"/>
      <c r="M544" s="21"/>
      <c r="N544" s="21"/>
      <c r="O544" s="21"/>
      <c r="P544" s="21"/>
      <c r="Q544" s="21"/>
      <c r="R544" s="21"/>
      <c r="S544" s="21"/>
      <c r="T544" s="18">
        <v>158.0</v>
      </c>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10"/>
    </row>
    <row r="545">
      <c r="A545" s="21"/>
      <c r="B545" s="21"/>
      <c r="C545" s="21"/>
      <c r="D545" s="21"/>
      <c r="E545" s="32">
        <v>8.0</v>
      </c>
      <c r="F545" s="21"/>
      <c r="G545" s="19">
        <v>82.0</v>
      </c>
      <c r="H545" s="21"/>
      <c r="I545" s="21"/>
      <c r="J545" s="21"/>
      <c r="K545" s="21"/>
      <c r="L545" s="21"/>
      <c r="M545" s="21"/>
      <c r="N545" s="21"/>
      <c r="O545" s="21"/>
      <c r="P545" s="21"/>
      <c r="Q545" s="21"/>
      <c r="R545" s="21"/>
      <c r="S545" s="21"/>
      <c r="T545" s="18">
        <v>173.0</v>
      </c>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10"/>
    </row>
    <row r="546">
      <c r="A546" s="21"/>
      <c r="B546" s="21"/>
      <c r="C546" s="21"/>
      <c r="D546" s="21"/>
      <c r="E546" s="32">
        <v>9.0</v>
      </c>
      <c r="F546" s="21"/>
      <c r="G546" s="19">
        <v>91.0</v>
      </c>
      <c r="H546" s="21"/>
      <c r="I546" s="21"/>
      <c r="J546" s="21"/>
      <c r="K546" s="21"/>
      <c r="L546" s="21"/>
      <c r="M546" s="21"/>
      <c r="N546" s="21"/>
      <c r="O546" s="21"/>
      <c r="P546" s="21"/>
      <c r="Q546" s="21"/>
      <c r="R546" s="21"/>
      <c r="S546" s="21"/>
      <c r="T546" s="18">
        <v>190.0</v>
      </c>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10"/>
    </row>
    <row r="547">
      <c r="A547" s="21"/>
      <c r="B547" s="21"/>
      <c r="C547" s="21"/>
      <c r="D547" s="21"/>
      <c r="E547" s="32">
        <v>10.0</v>
      </c>
      <c r="F547" s="21"/>
      <c r="G547" s="19">
        <v>100.0</v>
      </c>
      <c r="H547" s="21"/>
      <c r="I547" s="21"/>
      <c r="J547" s="21"/>
      <c r="K547" s="21"/>
      <c r="L547" s="21"/>
      <c r="M547" s="21"/>
      <c r="N547" s="21"/>
      <c r="O547" s="21"/>
      <c r="P547" s="21"/>
      <c r="Q547" s="21"/>
      <c r="R547" s="21"/>
      <c r="S547" s="21"/>
      <c r="T547" s="18">
        <v>209.0</v>
      </c>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c r="BE547" s="21"/>
      <c r="BF547" s="21"/>
      <c r="BG547" s="21"/>
      <c r="BH547" s="21"/>
      <c r="BI547" s="21"/>
      <c r="BJ547" s="21"/>
      <c r="BK547" s="10"/>
    </row>
    <row r="548">
      <c r="A548" s="21"/>
      <c r="B548" s="21"/>
      <c r="C548" s="21"/>
      <c r="D548" s="21"/>
      <c r="E548" s="32">
        <v>11.0</v>
      </c>
      <c r="F548" s="21"/>
      <c r="G548" s="19">
        <v>110.0</v>
      </c>
      <c r="H548" s="21"/>
      <c r="I548" s="21"/>
      <c r="J548" s="21"/>
      <c r="K548" s="21"/>
      <c r="L548" s="21"/>
      <c r="M548" s="21"/>
      <c r="N548" s="21"/>
      <c r="O548" s="21"/>
      <c r="P548" s="21"/>
      <c r="Q548" s="21"/>
      <c r="R548" s="21"/>
      <c r="S548" s="21"/>
      <c r="T548" s="18">
        <v>230.0</v>
      </c>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c r="BE548" s="21"/>
      <c r="BF548" s="21"/>
      <c r="BG548" s="21"/>
      <c r="BH548" s="21"/>
      <c r="BI548" s="21"/>
      <c r="BJ548" s="21"/>
      <c r="BK548" s="10"/>
    </row>
    <row r="549">
      <c r="A549" s="21"/>
      <c r="B549" s="21"/>
      <c r="C549" s="21"/>
      <c r="D549" s="21"/>
      <c r="E549" s="32">
        <v>12.0</v>
      </c>
      <c r="F549" s="21"/>
      <c r="G549" s="19">
        <v>120.0</v>
      </c>
      <c r="H549" s="21"/>
      <c r="I549" s="21"/>
      <c r="J549" s="21"/>
      <c r="K549" s="21"/>
      <c r="L549" s="21"/>
      <c r="M549" s="21"/>
      <c r="N549" s="21"/>
      <c r="O549" s="21"/>
      <c r="P549" s="21"/>
      <c r="Q549" s="21"/>
      <c r="R549" s="21"/>
      <c r="S549" s="21"/>
      <c r="T549" s="18">
        <v>252.0</v>
      </c>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10"/>
    </row>
    <row r="550">
      <c r="A550" s="22"/>
      <c r="B550" s="22"/>
      <c r="C550" s="22"/>
      <c r="D550" s="22"/>
      <c r="E550" s="32">
        <v>13.0</v>
      </c>
      <c r="F550" s="22"/>
      <c r="G550" s="19">
        <v>132.0</v>
      </c>
      <c r="H550" s="22"/>
      <c r="I550" s="22"/>
      <c r="J550" s="22"/>
      <c r="K550" s="22"/>
      <c r="L550" s="22"/>
      <c r="M550" s="22"/>
      <c r="N550" s="22"/>
      <c r="O550" s="22"/>
      <c r="P550" s="22"/>
      <c r="Q550" s="22"/>
      <c r="R550" s="22"/>
      <c r="S550" s="22"/>
      <c r="T550" s="18">
        <v>278.0</v>
      </c>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10"/>
    </row>
    <row r="551">
      <c r="A551" s="16" t="s">
        <v>222</v>
      </c>
      <c r="B551" s="27" t="s">
        <v>101</v>
      </c>
      <c r="C551" s="16" t="s">
        <v>87</v>
      </c>
      <c r="D551" s="16">
        <v>2.0</v>
      </c>
      <c r="E551" s="18">
        <v>3.0</v>
      </c>
      <c r="F551" s="18">
        <v>40.0</v>
      </c>
      <c r="G551" s="16" t="s">
        <v>85</v>
      </c>
      <c r="H551" s="16" t="s">
        <v>85</v>
      </c>
      <c r="I551" s="16" t="s">
        <v>85</v>
      </c>
      <c r="J551" s="16" t="s">
        <v>85</v>
      </c>
      <c r="K551" s="16" t="s">
        <v>85</v>
      </c>
      <c r="L551" s="18">
        <v>40.0</v>
      </c>
      <c r="M551" s="16" t="s">
        <v>85</v>
      </c>
      <c r="N551" s="16" t="s">
        <v>85</v>
      </c>
      <c r="O551" s="16" t="s">
        <v>85</v>
      </c>
      <c r="P551" s="16" t="s">
        <v>85</v>
      </c>
      <c r="Q551" s="18">
        <v>16.0</v>
      </c>
      <c r="R551" s="16" t="s">
        <v>85</v>
      </c>
      <c r="S551" s="16" t="s">
        <v>85</v>
      </c>
      <c r="T551" s="18">
        <v>565.0</v>
      </c>
      <c r="U551" s="16" t="s">
        <v>85</v>
      </c>
      <c r="V551" s="16" t="s">
        <v>85</v>
      </c>
      <c r="W551" s="16" t="s">
        <v>85</v>
      </c>
      <c r="X551" s="16" t="s">
        <v>85</v>
      </c>
      <c r="Y551" s="16" t="s">
        <v>85</v>
      </c>
      <c r="Z551" s="16" t="s">
        <v>85</v>
      </c>
      <c r="AA551" s="16" t="s">
        <v>85</v>
      </c>
      <c r="AB551" s="16" t="s">
        <v>85</v>
      </c>
      <c r="AC551" s="16" t="s">
        <v>85</v>
      </c>
      <c r="AD551" s="16" t="s">
        <v>85</v>
      </c>
      <c r="AE551" s="16" t="s">
        <v>220</v>
      </c>
      <c r="AF551" s="16" t="s">
        <v>109</v>
      </c>
      <c r="AG551" s="16" t="s">
        <v>110</v>
      </c>
      <c r="AH551" s="16" t="s">
        <v>85</v>
      </c>
      <c r="AI551" s="16" t="s">
        <v>104</v>
      </c>
      <c r="AJ551" s="16" t="s">
        <v>85</v>
      </c>
      <c r="AK551" s="16" t="s">
        <v>85</v>
      </c>
      <c r="AL551" s="16" t="s">
        <v>85</v>
      </c>
      <c r="AM551" s="16" t="s">
        <v>85</v>
      </c>
      <c r="AN551" s="16" t="s">
        <v>85</v>
      </c>
      <c r="AO551" s="16" t="s">
        <v>85</v>
      </c>
      <c r="AP551" s="16" t="s">
        <v>85</v>
      </c>
      <c r="AQ551" s="16" t="s">
        <v>85</v>
      </c>
      <c r="AR551" s="16" t="s">
        <v>85</v>
      </c>
      <c r="AS551" s="16" t="s">
        <v>85</v>
      </c>
      <c r="AT551" s="16" t="s">
        <v>85</v>
      </c>
      <c r="AU551" s="16" t="s">
        <v>85</v>
      </c>
      <c r="AV551" s="16" t="s">
        <v>85</v>
      </c>
      <c r="AW551" s="16" t="s">
        <v>85</v>
      </c>
      <c r="AX551" s="16" t="s">
        <v>85</v>
      </c>
      <c r="AY551" s="16" t="s">
        <v>85</v>
      </c>
      <c r="AZ551" s="16" t="s">
        <v>85</v>
      </c>
      <c r="BA551" s="16" t="s">
        <v>85</v>
      </c>
      <c r="BB551" s="16" t="s">
        <v>85</v>
      </c>
      <c r="BC551" s="16" t="s">
        <v>85</v>
      </c>
      <c r="BD551" s="16" t="s">
        <v>85</v>
      </c>
      <c r="BE551" s="16" t="s">
        <v>85</v>
      </c>
      <c r="BF551" s="16" t="s">
        <v>85</v>
      </c>
      <c r="BG551" s="16" t="s">
        <v>85</v>
      </c>
      <c r="BH551" s="16" t="s">
        <v>85</v>
      </c>
      <c r="BI551" s="16" t="s">
        <v>85</v>
      </c>
      <c r="BJ551" s="16" t="s">
        <v>85</v>
      </c>
      <c r="BK551" s="10"/>
    </row>
    <row r="552">
      <c r="A552" s="21"/>
      <c r="B552" s="21"/>
      <c r="C552" s="21"/>
      <c r="D552" s="21"/>
      <c r="E552" s="18">
        <v>4.0</v>
      </c>
      <c r="F552" s="18">
        <v>44.0</v>
      </c>
      <c r="G552" s="21"/>
      <c r="H552" s="21"/>
      <c r="I552" s="21"/>
      <c r="J552" s="21"/>
      <c r="K552" s="21"/>
      <c r="L552" s="18">
        <v>44.0</v>
      </c>
      <c r="M552" s="21"/>
      <c r="N552" s="21"/>
      <c r="O552" s="21"/>
      <c r="P552" s="21"/>
      <c r="Q552" s="18">
        <v>17.0</v>
      </c>
      <c r="R552" s="21"/>
      <c r="S552" s="21"/>
      <c r="T552" s="19">
        <v>621.0</v>
      </c>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10"/>
    </row>
    <row r="553">
      <c r="A553" s="21"/>
      <c r="B553" s="21"/>
      <c r="C553" s="21"/>
      <c r="D553" s="21"/>
      <c r="E553" s="18">
        <v>5.0</v>
      </c>
      <c r="F553" s="18">
        <v>48.0</v>
      </c>
      <c r="G553" s="21"/>
      <c r="H553" s="21"/>
      <c r="I553" s="21"/>
      <c r="J553" s="21"/>
      <c r="K553" s="21"/>
      <c r="L553" s="18">
        <v>48.0</v>
      </c>
      <c r="M553" s="21"/>
      <c r="N553" s="21"/>
      <c r="O553" s="21"/>
      <c r="P553" s="21"/>
      <c r="Q553" s="18">
        <v>19.0</v>
      </c>
      <c r="R553" s="21"/>
      <c r="S553" s="21"/>
      <c r="T553" s="19">
        <v>683.0</v>
      </c>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10"/>
    </row>
    <row r="554">
      <c r="A554" s="21"/>
      <c r="B554" s="21"/>
      <c r="C554" s="21"/>
      <c r="D554" s="21"/>
      <c r="E554" s="18">
        <v>6.0</v>
      </c>
      <c r="F554" s="18">
        <v>53.0</v>
      </c>
      <c r="G554" s="21"/>
      <c r="H554" s="21"/>
      <c r="I554" s="21"/>
      <c r="J554" s="21"/>
      <c r="K554" s="21"/>
      <c r="L554" s="18">
        <v>53.0</v>
      </c>
      <c r="M554" s="21"/>
      <c r="N554" s="21"/>
      <c r="O554" s="21"/>
      <c r="P554" s="21"/>
      <c r="Q554" s="18">
        <v>21.0</v>
      </c>
      <c r="R554" s="21"/>
      <c r="S554" s="21"/>
      <c r="T554" s="19">
        <v>751.0</v>
      </c>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10"/>
    </row>
    <row r="555">
      <c r="A555" s="21"/>
      <c r="B555" s="21"/>
      <c r="C555" s="21"/>
      <c r="D555" s="21"/>
      <c r="E555" s="18">
        <v>7.0</v>
      </c>
      <c r="F555" s="18">
        <v>58.0</v>
      </c>
      <c r="G555" s="21"/>
      <c r="H555" s="21"/>
      <c r="I555" s="21"/>
      <c r="J555" s="21"/>
      <c r="K555" s="21"/>
      <c r="L555" s="18">
        <v>58.0</v>
      </c>
      <c r="M555" s="21"/>
      <c r="N555" s="21"/>
      <c r="O555" s="21"/>
      <c r="P555" s="21"/>
      <c r="Q555" s="18">
        <v>23.0</v>
      </c>
      <c r="R555" s="21"/>
      <c r="S555" s="21"/>
      <c r="T555" s="19">
        <v>824.0</v>
      </c>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10"/>
    </row>
    <row r="556">
      <c r="A556" s="21"/>
      <c r="B556" s="21"/>
      <c r="C556" s="21"/>
      <c r="D556" s="21"/>
      <c r="E556" s="18">
        <v>8.0</v>
      </c>
      <c r="F556" s="18">
        <v>64.0</v>
      </c>
      <c r="G556" s="21"/>
      <c r="H556" s="21"/>
      <c r="I556" s="21"/>
      <c r="J556" s="21"/>
      <c r="K556" s="21"/>
      <c r="L556" s="18">
        <v>64.0</v>
      </c>
      <c r="M556" s="21"/>
      <c r="N556" s="21"/>
      <c r="O556" s="21"/>
      <c r="P556" s="21"/>
      <c r="Q556" s="18">
        <v>25.0</v>
      </c>
      <c r="R556" s="21"/>
      <c r="S556" s="21"/>
      <c r="T556" s="19">
        <v>904.0</v>
      </c>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10"/>
    </row>
    <row r="557">
      <c r="A557" s="21"/>
      <c r="B557" s="21"/>
      <c r="C557" s="21"/>
      <c r="D557" s="21"/>
      <c r="E557" s="18">
        <v>9.0</v>
      </c>
      <c r="F557" s="18">
        <v>70.0</v>
      </c>
      <c r="G557" s="21"/>
      <c r="H557" s="21"/>
      <c r="I557" s="21"/>
      <c r="J557" s="21"/>
      <c r="K557" s="21"/>
      <c r="L557" s="18">
        <v>70.0</v>
      </c>
      <c r="M557" s="21"/>
      <c r="N557" s="21"/>
      <c r="O557" s="21"/>
      <c r="P557" s="21"/>
      <c r="Q557" s="18">
        <v>28.0</v>
      </c>
      <c r="R557" s="21"/>
      <c r="S557" s="21"/>
      <c r="T557" s="19">
        <v>994.0</v>
      </c>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10"/>
    </row>
    <row r="558">
      <c r="A558" s="21"/>
      <c r="B558" s="21"/>
      <c r="C558" s="21"/>
      <c r="D558" s="21"/>
      <c r="E558" s="18">
        <v>10.0</v>
      </c>
      <c r="F558" s="18">
        <v>77.0</v>
      </c>
      <c r="G558" s="21"/>
      <c r="H558" s="21"/>
      <c r="I558" s="21"/>
      <c r="J558" s="21"/>
      <c r="K558" s="21"/>
      <c r="L558" s="18">
        <v>77.0</v>
      </c>
      <c r="M558" s="21"/>
      <c r="N558" s="21"/>
      <c r="O558" s="21"/>
      <c r="P558" s="21"/>
      <c r="Q558" s="18">
        <v>30.0</v>
      </c>
      <c r="R558" s="21"/>
      <c r="S558" s="21"/>
      <c r="T558" s="19">
        <v>1090.0</v>
      </c>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10"/>
    </row>
    <row r="559">
      <c r="A559" s="21"/>
      <c r="B559" s="21"/>
      <c r="C559" s="21"/>
      <c r="D559" s="21"/>
      <c r="E559" s="18">
        <v>11.0</v>
      </c>
      <c r="F559" s="18">
        <v>84.0</v>
      </c>
      <c r="G559" s="21"/>
      <c r="H559" s="21"/>
      <c r="I559" s="21"/>
      <c r="J559" s="21"/>
      <c r="K559" s="21"/>
      <c r="L559" s="18">
        <v>84.0</v>
      </c>
      <c r="M559" s="21"/>
      <c r="N559" s="21"/>
      <c r="O559" s="21"/>
      <c r="P559" s="21"/>
      <c r="Q559" s="18">
        <v>33.0</v>
      </c>
      <c r="R559" s="21"/>
      <c r="S559" s="21"/>
      <c r="T559" s="19">
        <v>1197.0</v>
      </c>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10"/>
    </row>
    <row r="560">
      <c r="A560" s="21"/>
      <c r="B560" s="21"/>
      <c r="C560" s="21"/>
      <c r="D560" s="21"/>
      <c r="E560" s="18">
        <v>12.0</v>
      </c>
      <c r="F560" s="18">
        <v>93.0</v>
      </c>
      <c r="G560" s="21"/>
      <c r="H560" s="21"/>
      <c r="I560" s="21"/>
      <c r="J560" s="21"/>
      <c r="K560" s="21"/>
      <c r="L560" s="18">
        <v>93.0</v>
      </c>
      <c r="M560" s="21"/>
      <c r="N560" s="21"/>
      <c r="O560" s="21"/>
      <c r="P560" s="21"/>
      <c r="Q560" s="18">
        <v>37.0</v>
      </c>
      <c r="R560" s="21"/>
      <c r="S560" s="21"/>
      <c r="T560" s="19">
        <v>1316.0</v>
      </c>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10"/>
    </row>
    <row r="561">
      <c r="A561" s="22"/>
      <c r="B561" s="22"/>
      <c r="C561" s="22"/>
      <c r="D561" s="22"/>
      <c r="E561" s="18">
        <v>13.0</v>
      </c>
      <c r="F561" s="18">
        <v>102.0</v>
      </c>
      <c r="G561" s="22"/>
      <c r="H561" s="22"/>
      <c r="I561" s="22"/>
      <c r="J561" s="22"/>
      <c r="K561" s="22"/>
      <c r="L561" s="18">
        <v>102.0</v>
      </c>
      <c r="M561" s="22"/>
      <c r="N561" s="22"/>
      <c r="O561" s="22"/>
      <c r="P561" s="22"/>
      <c r="Q561" s="18">
        <v>40.0</v>
      </c>
      <c r="R561" s="22"/>
      <c r="S561" s="22"/>
      <c r="T561" s="19">
        <v>1446.0</v>
      </c>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10"/>
    </row>
    <row r="562">
      <c r="A562" s="16" t="s">
        <v>223</v>
      </c>
      <c r="B562" s="30" t="s">
        <v>131</v>
      </c>
      <c r="C562" s="16" t="s">
        <v>84</v>
      </c>
      <c r="D562" s="16">
        <v>6.0</v>
      </c>
      <c r="E562" s="18">
        <v>6.0</v>
      </c>
      <c r="F562" s="18">
        <v>660.0</v>
      </c>
      <c r="G562" s="16" t="s">
        <v>85</v>
      </c>
      <c r="H562" s="16" t="s">
        <v>85</v>
      </c>
      <c r="I562" s="16" t="s">
        <v>85</v>
      </c>
      <c r="J562" s="16" t="s">
        <v>85</v>
      </c>
      <c r="K562" s="16" t="s">
        <v>85</v>
      </c>
      <c r="L562" s="16" t="s">
        <v>85</v>
      </c>
      <c r="M562" s="18">
        <v>198.0</v>
      </c>
      <c r="N562" s="16" t="s">
        <v>85</v>
      </c>
      <c r="O562" s="16" t="s">
        <v>85</v>
      </c>
      <c r="P562" s="16" t="s">
        <v>85</v>
      </c>
      <c r="Q562" s="16" t="s">
        <v>85</v>
      </c>
      <c r="R562" s="16" t="s">
        <v>85</v>
      </c>
      <c r="S562" s="16" t="s">
        <v>85</v>
      </c>
      <c r="T562" s="16" t="s">
        <v>85</v>
      </c>
      <c r="U562" s="16" t="s">
        <v>85</v>
      </c>
      <c r="V562" s="16" t="s">
        <v>85</v>
      </c>
      <c r="W562" s="16" t="s">
        <v>85</v>
      </c>
      <c r="X562" s="16" t="s">
        <v>85</v>
      </c>
      <c r="Y562" s="16" t="s">
        <v>85</v>
      </c>
      <c r="Z562" s="16" t="s">
        <v>85</v>
      </c>
      <c r="AA562" s="16" t="s">
        <v>85</v>
      </c>
      <c r="AB562" s="16" t="s">
        <v>85</v>
      </c>
      <c r="AC562" s="16" t="s">
        <v>85</v>
      </c>
      <c r="AD562" s="16" t="s">
        <v>85</v>
      </c>
      <c r="AE562" s="16" t="s">
        <v>85</v>
      </c>
      <c r="AF562" s="16" t="s">
        <v>85</v>
      </c>
      <c r="AG562" s="16" t="s">
        <v>85</v>
      </c>
      <c r="AH562" s="16" t="s">
        <v>85</v>
      </c>
      <c r="AI562" s="16" t="s">
        <v>85</v>
      </c>
      <c r="AJ562" s="16" t="s">
        <v>85</v>
      </c>
      <c r="AK562" s="16" t="s">
        <v>85</v>
      </c>
      <c r="AL562" s="16" t="s">
        <v>85</v>
      </c>
      <c r="AM562" s="16" t="s">
        <v>92</v>
      </c>
      <c r="AN562" s="16" t="s">
        <v>85</v>
      </c>
      <c r="AO562" s="16" t="s">
        <v>85</v>
      </c>
      <c r="AP562" s="16" t="s">
        <v>85</v>
      </c>
      <c r="AQ562" s="16" t="s">
        <v>85</v>
      </c>
      <c r="AR562" s="16" t="s">
        <v>85</v>
      </c>
      <c r="AS562" s="16" t="s">
        <v>185</v>
      </c>
      <c r="AT562" s="16" t="s">
        <v>85</v>
      </c>
      <c r="AU562" s="16" t="s">
        <v>85</v>
      </c>
      <c r="AV562" s="16" t="s">
        <v>85</v>
      </c>
      <c r="AW562" s="16" t="s">
        <v>85</v>
      </c>
      <c r="AX562" s="16" t="s">
        <v>85</v>
      </c>
      <c r="AY562" s="16" t="s">
        <v>85</v>
      </c>
      <c r="AZ562" s="16" t="s">
        <v>85</v>
      </c>
      <c r="BA562" s="16" t="s">
        <v>85</v>
      </c>
      <c r="BB562" s="16" t="s">
        <v>85</v>
      </c>
      <c r="BC562" s="16" t="s">
        <v>85</v>
      </c>
      <c r="BD562" s="16" t="s">
        <v>85</v>
      </c>
      <c r="BE562" s="16" t="s">
        <v>85</v>
      </c>
      <c r="BF562" s="16" t="s">
        <v>85</v>
      </c>
      <c r="BG562" s="16" t="s">
        <v>85</v>
      </c>
      <c r="BH562" s="16" t="s">
        <v>85</v>
      </c>
      <c r="BI562" s="16" t="s">
        <v>85</v>
      </c>
      <c r="BJ562" s="16">
        <v>3.5</v>
      </c>
      <c r="BK562" s="10"/>
    </row>
    <row r="563">
      <c r="A563" s="21"/>
      <c r="B563" s="21"/>
      <c r="C563" s="21"/>
      <c r="D563" s="21"/>
      <c r="E563" s="18">
        <v>7.0</v>
      </c>
      <c r="F563" s="19">
        <v>726.0</v>
      </c>
      <c r="G563" s="21"/>
      <c r="H563" s="21"/>
      <c r="I563" s="21"/>
      <c r="J563" s="21"/>
      <c r="K563" s="21"/>
      <c r="L563" s="21"/>
      <c r="M563" s="18">
        <v>218.0</v>
      </c>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10"/>
    </row>
    <row r="564">
      <c r="A564" s="21"/>
      <c r="B564" s="21"/>
      <c r="C564" s="21"/>
      <c r="D564" s="21"/>
      <c r="E564" s="18">
        <v>8.0</v>
      </c>
      <c r="F564" s="19">
        <v>798.0</v>
      </c>
      <c r="G564" s="21"/>
      <c r="H564" s="21"/>
      <c r="I564" s="21"/>
      <c r="J564" s="21"/>
      <c r="K564" s="21"/>
      <c r="L564" s="21"/>
      <c r="M564" s="18">
        <v>240.0</v>
      </c>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10"/>
    </row>
    <row r="565">
      <c r="A565" s="21"/>
      <c r="B565" s="21"/>
      <c r="C565" s="21"/>
      <c r="D565" s="21"/>
      <c r="E565" s="18">
        <v>9.0</v>
      </c>
      <c r="F565" s="19">
        <v>877.0</v>
      </c>
      <c r="G565" s="21"/>
      <c r="H565" s="21"/>
      <c r="I565" s="21"/>
      <c r="J565" s="21"/>
      <c r="K565" s="21"/>
      <c r="L565" s="21"/>
      <c r="M565" s="18">
        <v>264.0</v>
      </c>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10"/>
    </row>
    <row r="566">
      <c r="A566" s="21"/>
      <c r="B566" s="21"/>
      <c r="C566" s="21"/>
      <c r="D566" s="21"/>
      <c r="E566" s="18">
        <v>10.0</v>
      </c>
      <c r="F566" s="19">
        <v>963.0</v>
      </c>
      <c r="G566" s="21"/>
      <c r="H566" s="21"/>
      <c r="I566" s="21"/>
      <c r="J566" s="21"/>
      <c r="K566" s="21"/>
      <c r="L566" s="21"/>
      <c r="M566" s="18">
        <v>289.0</v>
      </c>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10"/>
    </row>
    <row r="567">
      <c r="A567" s="21"/>
      <c r="B567" s="21"/>
      <c r="C567" s="21"/>
      <c r="D567" s="21"/>
      <c r="E567" s="18">
        <v>11.0</v>
      </c>
      <c r="F567" s="19">
        <v>1056.0</v>
      </c>
      <c r="G567" s="21"/>
      <c r="H567" s="21"/>
      <c r="I567" s="21"/>
      <c r="J567" s="21"/>
      <c r="K567" s="21"/>
      <c r="L567" s="21"/>
      <c r="M567" s="18">
        <v>317.0</v>
      </c>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10"/>
    </row>
    <row r="568">
      <c r="A568" s="21"/>
      <c r="B568" s="21"/>
      <c r="C568" s="21"/>
      <c r="D568" s="21"/>
      <c r="E568" s="18">
        <v>12.0</v>
      </c>
      <c r="F568" s="19">
        <v>1161.0</v>
      </c>
      <c r="G568" s="21"/>
      <c r="H568" s="21"/>
      <c r="I568" s="21"/>
      <c r="J568" s="21"/>
      <c r="K568" s="21"/>
      <c r="L568" s="21"/>
      <c r="M568" s="18">
        <v>349.0</v>
      </c>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10"/>
    </row>
    <row r="569">
      <c r="A569" s="22"/>
      <c r="B569" s="22"/>
      <c r="C569" s="22"/>
      <c r="D569" s="22"/>
      <c r="E569" s="18">
        <v>13.0</v>
      </c>
      <c r="F569" s="19">
        <v>1273.0</v>
      </c>
      <c r="G569" s="22"/>
      <c r="H569" s="22"/>
      <c r="I569" s="22"/>
      <c r="J569" s="22"/>
      <c r="K569" s="22"/>
      <c r="L569" s="22"/>
      <c r="M569" s="18">
        <v>382.0</v>
      </c>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10"/>
    </row>
    <row r="570">
      <c r="A570" s="16" t="s">
        <v>224</v>
      </c>
      <c r="B570" s="30" t="s">
        <v>131</v>
      </c>
      <c r="C570" s="16" t="s">
        <v>84</v>
      </c>
      <c r="D570" s="16">
        <v>4.0</v>
      </c>
      <c r="E570" s="18">
        <v>6.0</v>
      </c>
      <c r="F570" s="16" t="s">
        <v>85</v>
      </c>
      <c r="G570" s="18">
        <v>72.0</v>
      </c>
      <c r="H570" s="16" t="s">
        <v>85</v>
      </c>
      <c r="I570" s="16" t="s">
        <v>85</v>
      </c>
      <c r="J570" s="16" t="s">
        <v>85</v>
      </c>
      <c r="K570" s="16" t="s">
        <v>85</v>
      </c>
      <c r="L570" s="16" t="s">
        <v>85</v>
      </c>
      <c r="M570" s="31">
        <v>22.0</v>
      </c>
      <c r="N570" s="16" t="s">
        <v>85</v>
      </c>
      <c r="O570" s="16" t="s">
        <v>85</v>
      </c>
      <c r="P570" s="16" t="s">
        <v>85</v>
      </c>
      <c r="Q570" s="16" t="s">
        <v>85</v>
      </c>
      <c r="R570" s="16" t="s">
        <v>85</v>
      </c>
      <c r="S570" s="16" t="s">
        <v>85</v>
      </c>
      <c r="T570" s="16" t="s">
        <v>85</v>
      </c>
      <c r="U570" s="16" t="s">
        <v>85</v>
      </c>
      <c r="V570" s="16" t="s">
        <v>85</v>
      </c>
      <c r="W570" s="16" t="s">
        <v>85</v>
      </c>
      <c r="X570" s="16" t="s">
        <v>85</v>
      </c>
      <c r="Y570" s="16" t="s">
        <v>85</v>
      </c>
      <c r="Z570" s="16" t="s">
        <v>85</v>
      </c>
      <c r="AA570" s="16" t="s">
        <v>85</v>
      </c>
      <c r="AB570" s="16" t="s">
        <v>85</v>
      </c>
      <c r="AC570" s="16" t="s">
        <v>85</v>
      </c>
      <c r="AD570" s="16" t="s">
        <v>85</v>
      </c>
      <c r="AE570" s="16" t="s">
        <v>85</v>
      </c>
      <c r="AF570" s="16" t="s">
        <v>85</v>
      </c>
      <c r="AG570" s="16" t="s">
        <v>85</v>
      </c>
      <c r="AH570" s="16" t="s">
        <v>85</v>
      </c>
      <c r="AI570" s="16" t="s">
        <v>85</v>
      </c>
      <c r="AJ570" s="16" t="s">
        <v>85</v>
      </c>
      <c r="AK570" s="16" t="s">
        <v>85</v>
      </c>
      <c r="AL570" s="16" t="s">
        <v>85</v>
      </c>
      <c r="AM570" s="16" t="s">
        <v>85</v>
      </c>
      <c r="AN570" s="16" t="s">
        <v>85</v>
      </c>
      <c r="AO570" s="16" t="s">
        <v>85</v>
      </c>
      <c r="AP570" s="16" t="s">
        <v>85</v>
      </c>
      <c r="AQ570" s="16" t="s">
        <v>85</v>
      </c>
      <c r="AR570" s="36" t="s">
        <v>85</v>
      </c>
      <c r="AS570" s="36" t="s">
        <v>85</v>
      </c>
      <c r="AT570" s="16" t="s">
        <v>225</v>
      </c>
      <c r="AU570" s="16" t="s">
        <v>85</v>
      </c>
      <c r="AV570" s="16" t="s">
        <v>85</v>
      </c>
      <c r="AW570" s="16" t="s">
        <v>85</v>
      </c>
      <c r="AX570" s="16" t="s">
        <v>85</v>
      </c>
      <c r="AY570" s="16" t="s">
        <v>85</v>
      </c>
      <c r="AZ570" s="16" t="s">
        <v>85</v>
      </c>
      <c r="BA570" s="16" t="s">
        <v>85</v>
      </c>
      <c r="BB570" s="16" t="s">
        <v>85</v>
      </c>
      <c r="BC570" s="16" t="s">
        <v>85</v>
      </c>
      <c r="BD570" s="16" t="s">
        <v>85</v>
      </c>
      <c r="BE570" s="16" t="s">
        <v>85</v>
      </c>
      <c r="BF570" s="16" t="s">
        <v>85</v>
      </c>
      <c r="BG570" s="16" t="s">
        <v>85</v>
      </c>
      <c r="BH570" s="16" t="s">
        <v>85</v>
      </c>
      <c r="BI570" s="16" t="s">
        <v>85</v>
      </c>
      <c r="BJ570" s="16">
        <v>3.0</v>
      </c>
      <c r="BK570" s="10"/>
    </row>
    <row r="571">
      <c r="A571" s="21"/>
      <c r="B571" s="21"/>
      <c r="C571" s="21"/>
      <c r="D571" s="21"/>
      <c r="E571" s="18">
        <v>7.0</v>
      </c>
      <c r="F571" s="21"/>
      <c r="G571" s="19">
        <v>79.0</v>
      </c>
      <c r="H571" s="21"/>
      <c r="I571" s="21"/>
      <c r="J571" s="21"/>
      <c r="K571" s="21"/>
      <c r="L571" s="21"/>
      <c r="M571" s="31">
        <v>24.0</v>
      </c>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10"/>
    </row>
    <row r="572">
      <c r="A572" s="21"/>
      <c r="B572" s="21"/>
      <c r="C572" s="21"/>
      <c r="D572" s="21"/>
      <c r="E572" s="18">
        <v>8.0</v>
      </c>
      <c r="F572" s="21"/>
      <c r="G572" s="19">
        <v>87.0</v>
      </c>
      <c r="H572" s="21"/>
      <c r="I572" s="21"/>
      <c r="J572" s="21"/>
      <c r="K572" s="21"/>
      <c r="L572" s="21"/>
      <c r="M572" s="31">
        <v>27.0</v>
      </c>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10"/>
    </row>
    <row r="573">
      <c r="A573" s="21"/>
      <c r="B573" s="21"/>
      <c r="C573" s="21"/>
      <c r="D573" s="21"/>
      <c r="E573" s="18">
        <v>9.0</v>
      </c>
      <c r="F573" s="21"/>
      <c r="G573" s="19">
        <v>95.0</v>
      </c>
      <c r="H573" s="21"/>
      <c r="I573" s="21"/>
      <c r="J573" s="21"/>
      <c r="K573" s="21"/>
      <c r="L573" s="21"/>
      <c r="M573" s="31">
        <v>29.0</v>
      </c>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10"/>
    </row>
    <row r="574">
      <c r="A574" s="21"/>
      <c r="B574" s="21"/>
      <c r="C574" s="21"/>
      <c r="D574" s="21"/>
      <c r="E574" s="18">
        <v>10.0</v>
      </c>
      <c r="F574" s="21"/>
      <c r="G574" s="19">
        <v>105.0</v>
      </c>
      <c r="H574" s="21"/>
      <c r="I574" s="21"/>
      <c r="J574" s="21"/>
      <c r="K574" s="21"/>
      <c r="L574" s="21"/>
      <c r="M574" s="31">
        <v>32.0</v>
      </c>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10"/>
    </row>
    <row r="575">
      <c r="A575" s="21"/>
      <c r="B575" s="21"/>
      <c r="C575" s="21"/>
      <c r="D575" s="21"/>
      <c r="E575" s="18">
        <v>11.0</v>
      </c>
      <c r="F575" s="21"/>
      <c r="G575" s="19">
        <v>115.0</v>
      </c>
      <c r="H575" s="21"/>
      <c r="I575" s="21"/>
      <c r="J575" s="21"/>
      <c r="K575" s="21"/>
      <c r="L575" s="21"/>
      <c r="M575" s="31">
        <v>35.0</v>
      </c>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c r="BE575" s="21"/>
      <c r="BF575" s="21"/>
      <c r="BG575" s="21"/>
      <c r="BH575" s="21"/>
      <c r="BI575" s="21"/>
      <c r="BJ575" s="21"/>
      <c r="BK575" s="10"/>
    </row>
    <row r="576">
      <c r="A576" s="21"/>
      <c r="B576" s="21"/>
      <c r="C576" s="21"/>
      <c r="D576" s="21"/>
      <c r="E576" s="18">
        <v>12.0</v>
      </c>
      <c r="F576" s="21"/>
      <c r="G576" s="19">
        <v>126.0</v>
      </c>
      <c r="H576" s="21"/>
      <c r="I576" s="21"/>
      <c r="J576" s="21"/>
      <c r="K576" s="21"/>
      <c r="L576" s="21"/>
      <c r="M576" s="31">
        <v>38.0</v>
      </c>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c r="BE576" s="21"/>
      <c r="BF576" s="21"/>
      <c r="BG576" s="21"/>
      <c r="BH576" s="21"/>
      <c r="BI576" s="21"/>
      <c r="BJ576" s="21"/>
      <c r="BK576" s="10"/>
    </row>
    <row r="577">
      <c r="A577" s="22"/>
      <c r="B577" s="22"/>
      <c r="C577" s="22"/>
      <c r="D577" s="22"/>
      <c r="E577" s="18">
        <v>13.0</v>
      </c>
      <c r="F577" s="22"/>
      <c r="G577" s="19">
        <v>138.0</v>
      </c>
      <c r="H577" s="22"/>
      <c r="I577" s="22"/>
      <c r="J577" s="22"/>
      <c r="K577" s="22"/>
      <c r="L577" s="22"/>
      <c r="M577" s="31">
        <v>42.0</v>
      </c>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10"/>
    </row>
    <row r="578">
      <c r="A578" s="16" t="s">
        <v>226</v>
      </c>
      <c r="B578" s="37" t="s">
        <v>181</v>
      </c>
      <c r="C578" s="16" t="s">
        <v>87</v>
      </c>
      <c r="D578" s="16">
        <v>3.0</v>
      </c>
      <c r="E578" s="18">
        <v>9.0</v>
      </c>
      <c r="F578" s="16" t="s">
        <v>85</v>
      </c>
      <c r="G578" s="18">
        <v>75.0</v>
      </c>
      <c r="H578" s="16" t="s">
        <v>85</v>
      </c>
      <c r="I578" s="16" t="s">
        <v>85</v>
      </c>
      <c r="J578" s="16" t="s">
        <v>85</v>
      </c>
      <c r="K578" s="16" t="s">
        <v>85</v>
      </c>
      <c r="L578" s="16" t="s">
        <v>85</v>
      </c>
      <c r="M578" s="16" t="s">
        <v>85</v>
      </c>
      <c r="N578" s="16" t="s">
        <v>85</v>
      </c>
      <c r="O578" s="16" t="s">
        <v>85</v>
      </c>
      <c r="P578" s="16" t="s">
        <v>85</v>
      </c>
      <c r="Q578" s="19">
        <v>44.0</v>
      </c>
      <c r="R578" s="16" t="s">
        <v>85</v>
      </c>
      <c r="S578" s="16" t="s">
        <v>85</v>
      </c>
      <c r="T578" s="18">
        <v>569.0</v>
      </c>
      <c r="U578" s="16" t="s">
        <v>85</v>
      </c>
      <c r="V578" s="16" t="s">
        <v>85</v>
      </c>
      <c r="W578" s="16" t="s">
        <v>85</v>
      </c>
      <c r="X578" s="16" t="s">
        <v>85</v>
      </c>
      <c r="Y578" s="16" t="s">
        <v>85</v>
      </c>
      <c r="Z578" s="16" t="s">
        <v>85</v>
      </c>
      <c r="AA578" s="16" t="s">
        <v>85</v>
      </c>
      <c r="AB578" s="16" t="s">
        <v>85</v>
      </c>
      <c r="AC578" s="16" t="s">
        <v>85</v>
      </c>
      <c r="AD578" s="16" t="s">
        <v>85</v>
      </c>
      <c r="AE578" s="16" t="s">
        <v>103</v>
      </c>
      <c r="AF578" s="16" t="s">
        <v>89</v>
      </c>
      <c r="AG578" s="16" t="s">
        <v>95</v>
      </c>
      <c r="AH578" s="16" t="s">
        <v>85</v>
      </c>
      <c r="AI578" s="16">
        <v>5.5</v>
      </c>
      <c r="AJ578" s="16" t="s">
        <v>85</v>
      </c>
      <c r="AK578" s="16" t="s">
        <v>85</v>
      </c>
      <c r="AL578" s="16" t="s">
        <v>85</v>
      </c>
      <c r="AM578" s="16" t="s">
        <v>85</v>
      </c>
      <c r="AN578" s="16" t="s">
        <v>85</v>
      </c>
      <c r="AO578" s="16" t="s">
        <v>85</v>
      </c>
      <c r="AP578" s="16" t="s">
        <v>85</v>
      </c>
      <c r="AQ578" s="16" t="s">
        <v>85</v>
      </c>
      <c r="AR578" s="16" t="s">
        <v>85</v>
      </c>
      <c r="AS578" s="16" t="s">
        <v>85</v>
      </c>
      <c r="AT578" s="16" t="s">
        <v>85</v>
      </c>
      <c r="AU578" s="16" t="s">
        <v>220</v>
      </c>
      <c r="AV578" s="16" t="s">
        <v>85</v>
      </c>
      <c r="AW578" s="16" t="s">
        <v>85</v>
      </c>
      <c r="AX578" s="16" t="s">
        <v>85</v>
      </c>
      <c r="AY578" s="16" t="s">
        <v>85</v>
      </c>
      <c r="AZ578" s="16" t="s">
        <v>85</v>
      </c>
      <c r="BA578" s="16" t="s">
        <v>85</v>
      </c>
      <c r="BB578" s="16" t="s">
        <v>85</v>
      </c>
      <c r="BC578" s="16" t="s">
        <v>85</v>
      </c>
      <c r="BD578" s="16" t="s">
        <v>85</v>
      </c>
      <c r="BE578" s="16" t="s">
        <v>85</v>
      </c>
      <c r="BF578" s="16" t="s">
        <v>85</v>
      </c>
      <c r="BG578" s="16" t="s">
        <v>85</v>
      </c>
      <c r="BH578" s="16" t="s">
        <v>85</v>
      </c>
      <c r="BI578" s="16" t="s">
        <v>85</v>
      </c>
      <c r="BJ578" s="16" t="s">
        <v>85</v>
      </c>
      <c r="BK578" s="10"/>
    </row>
    <row r="579">
      <c r="A579" s="21"/>
      <c r="B579" s="21"/>
      <c r="C579" s="21"/>
      <c r="D579" s="21"/>
      <c r="E579" s="18">
        <v>10.0</v>
      </c>
      <c r="F579" s="21"/>
      <c r="G579" s="19">
        <v>82.0</v>
      </c>
      <c r="H579" s="21"/>
      <c r="I579" s="21"/>
      <c r="J579" s="21"/>
      <c r="K579" s="21"/>
      <c r="L579" s="21"/>
      <c r="M579" s="21"/>
      <c r="N579" s="21"/>
      <c r="O579" s="21"/>
      <c r="P579" s="21"/>
      <c r="Q579" s="19">
        <v>48.0</v>
      </c>
      <c r="R579" s="21"/>
      <c r="S579" s="21"/>
      <c r="T579" s="19">
        <v>625.0</v>
      </c>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10"/>
    </row>
    <row r="580">
      <c r="A580" s="21"/>
      <c r="B580" s="21"/>
      <c r="C580" s="21"/>
      <c r="D580" s="21"/>
      <c r="E580" s="18">
        <v>11.0</v>
      </c>
      <c r="F580" s="21"/>
      <c r="G580" s="19">
        <v>90.0</v>
      </c>
      <c r="H580" s="21"/>
      <c r="I580" s="21"/>
      <c r="J580" s="21"/>
      <c r="K580" s="21"/>
      <c r="L580" s="21"/>
      <c r="M580" s="21"/>
      <c r="N580" s="21"/>
      <c r="O580" s="21"/>
      <c r="P580" s="21"/>
      <c r="Q580" s="19">
        <v>52.0</v>
      </c>
      <c r="R580" s="21"/>
      <c r="S580" s="21"/>
      <c r="T580" s="19">
        <v>688.0</v>
      </c>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10"/>
    </row>
    <row r="581">
      <c r="A581" s="21"/>
      <c r="B581" s="21"/>
      <c r="C581" s="21"/>
      <c r="D581" s="21"/>
      <c r="E581" s="18">
        <v>12.0</v>
      </c>
      <c r="F581" s="21"/>
      <c r="G581" s="19">
        <v>99.0</v>
      </c>
      <c r="H581" s="21"/>
      <c r="I581" s="21"/>
      <c r="J581" s="21"/>
      <c r="K581" s="21"/>
      <c r="L581" s="21"/>
      <c r="M581" s="21"/>
      <c r="N581" s="21"/>
      <c r="O581" s="21"/>
      <c r="P581" s="21"/>
      <c r="Q581" s="19">
        <v>58.0</v>
      </c>
      <c r="R581" s="21"/>
      <c r="S581" s="21"/>
      <c r="T581" s="19">
        <v>756.0</v>
      </c>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10"/>
    </row>
    <row r="582">
      <c r="A582" s="22"/>
      <c r="B582" s="22"/>
      <c r="C582" s="22"/>
      <c r="D582" s="22"/>
      <c r="E582" s="18">
        <v>13.0</v>
      </c>
      <c r="F582" s="22"/>
      <c r="G582" s="19">
        <v>109.0</v>
      </c>
      <c r="H582" s="22"/>
      <c r="I582" s="22"/>
      <c r="J582" s="22"/>
      <c r="K582" s="22"/>
      <c r="L582" s="22"/>
      <c r="M582" s="22"/>
      <c r="N582" s="22"/>
      <c r="O582" s="22"/>
      <c r="P582" s="22"/>
      <c r="Q582" s="19">
        <v>64.0</v>
      </c>
      <c r="R582" s="22"/>
      <c r="S582" s="22"/>
      <c r="T582" s="19">
        <v>830.0</v>
      </c>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10"/>
    </row>
    <row r="583">
      <c r="A583" s="12" t="s">
        <v>227</v>
      </c>
      <c r="B583" s="13" t="s">
        <v>228</v>
      </c>
      <c r="C583" s="14"/>
      <c r="D583" s="14"/>
      <c r="E583" s="15"/>
      <c r="F583" s="38"/>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5"/>
      <c r="BK583" s="10"/>
    </row>
    <row r="584">
      <c r="A584" s="16" t="s">
        <v>229</v>
      </c>
      <c r="B584" s="17" t="s">
        <v>83</v>
      </c>
      <c r="C584" s="16" t="s">
        <v>87</v>
      </c>
      <c r="D584" s="16">
        <v>3.0</v>
      </c>
      <c r="E584" s="32">
        <v>1.0</v>
      </c>
      <c r="F584" s="16" t="s">
        <v>85</v>
      </c>
      <c r="G584" s="16" t="s">
        <v>85</v>
      </c>
      <c r="H584" s="16" t="s">
        <v>85</v>
      </c>
      <c r="I584" s="16" t="s">
        <v>85</v>
      </c>
      <c r="J584" s="16" t="s">
        <v>85</v>
      </c>
      <c r="K584" s="16" t="s">
        <v>85</v>
      </c>
      <c r="L584" s="16" t="s">
        <v>85</v>
      </c>
      <c r="M584" s="16" t="s">
        <v>85</v>
      </c>
      <c r="N584" s="16" t="s">
        <v>85</v>
      </c>
      <c r="O584" s="16" t="s">
        <v>85</v>
      </c>
      <c r="P584" s="16" t="s">
        <v>85</v>
      </c>
      <c r="Q584" s="16" t="s">
        <v>85</v>
      </c>
      <c r="R584" s="16" t="s">
        <v>85</v>
      </c>
      <c r="S584" s="16" t="s">
        <v>85</v>
      </c>
      <c r="T584" s="16" t="s">
        <v>85</v>
      </c>
      <c r="U584" s="16" t="s">
        <v>85</v>
      </c>
      <c r="V584" s="16" t="s">
        <v>85</v>
      </c>
      <c r="W584" s="16" t="s">
        <v>115</v>
      </c>
      <c r="X584" s="18">
        <v>1.0</v>
      </c>
      <c r="Y584" s="16" t="s">
        <v>85</v>
      </c>
      <c r="Z584" s="16" t="s">
        <v>85</v>
      </c>
      <c r="AA584" s="16" t="s">
        <v>85</v>
      </c>
      <c r="AB584" s="16" t="s">
        <v>85</v>
      </c>
      <c r="AC584" s="16" t="s">
        <v>85</v>
      </c>
      <c r="AD584" s="16" t="s">
        <v>85</v>
      </c>
      <c r="AE584" s="16" t="s">
        <v>85</v>
      </c>
      <c r="AF584" s="16" t="s">
        <v>85</v>
      </c>
      <c r="AG584" s="16" t="s">
        <v>85</v>
      </c>
      <c r="AH584" s="16" t="s">
        <v>85</v>
      </c>
      <c r="AI584" s="16" t="s">
        <v>85</v>
      </c>
      <c r="AJ584" s="16" t="s">
        <v>85</v>
      </c>
      <c r="AK584" s="16" t="s">
        <v>85</v>
      </c>
      <c r="AL584" s="16" t="s">
        <v>85</v>
      </c>
      <c r="AM584" s="16" t="s">
        <v>85</v>
      </c>
      <c r="AN584" s="16" t="s">
        <v>92</v>
      </c>
      <c r="AO584" s="16" t="s">
        <v>113</v>
      </c>
      <c r="AP584" s="18">
        <v>1.0</v>
      </c>
      <c r="AQ584" s="16" t="s">
        <v>96</v>
      </c>
      <c r="AR584" s="16" t="s">
        <v>85</v>
      </c>
      <c r="AS584" s="16" t="s">
        <v>85</v>
      </c>
      <c r="AT584" s="16" t="s">
        <v>85</v>
      </c>
      <c r="AU584" s="16" t="s">
        <v>85</v>
      </c>
      <c r="AV584" s="16" t="s">
        <v>85</v>
      </c>
      <c r="AW584" s="16" t="s">
        <v>85</v>
      </c>
      <c r="AX584" s="16" t="s">
        <v>85</v>
      </c>
      <c r="AY584" s="16" t="s">
        <v>85</v>
      </c>
      <c r="AZ584" s="16" t="s">
        <v>85</v>
      </c>
      <c r="BA584" s="16" t="s">
        <v>85</v>
      </c>
      <c r="BB584" s="16" t="s">
        <v>85</v>
      </c>
      <c r="BC584" s="16" t="s">
        <v>85</v>
      </c>
      <c r="BD584" s="16" t="s">
        <v>85</v>
      </c>
      <c r="BE584" s="16" t="s">
        <v>85</v>
      </c>
      <c r="BF584" s="16" t="s">
        <v>85</v>
      </c>
      <c r="BG584" s="16" t="s">
        <v>85</v>
      </c>
      <c r="BH584" s="16" t="s">
        <v>85</v>
      </c>
      <c r="BI584" s="16" t="s">
        <v>85</v>
      </c>
      <c r="BJ584" s="16" t="s">
        <v>85</v>
      </c>
      <c r="BK584" s="10"/>
    </row>
    <row r="585">
      <c r="A585" s="21"/>
      <c r="B585" s="21"/>
      <c r="C585" s="21"/>
      <c r="D585" s="21"/>
      <c r="E585" s="32">
        <v>2.0</v>
      </c>
      <c r="F585" s="21"/>
      <c r="G585" s="21"/>
      <c r="H585" s="21"/>
      <c r="I585" s="21"/>
      <c r="J585" s="21"/>
      <c r="K585" s="21"/>
      <c r="L585" s="21"/>
      <c r="M585" s="21"/>
      <c r="N585" s="21"/>
      <c r="O585" s="21"/>
      <c r="P585" s="21"/>
      <c r="Q585" s="21"/>
      <c r="R585" s="21"/>
      <c r="S585" s="21"/>
      <c r="T585" s="21"/>
      <c r="U585" s="21"/>
      <c r="V585" s="21"/>
      <c r="W585" s="21"/>
      <c r="X585" s="18">
        <v>2.0</v>
      </c>
      <c r="Y585" s="21"/>
      <c r="Z585" s="21"/>
      <c r="AA585" s="21"/>
      <c r="AB585" s="21"/>
      <c r="AC585" s="21"/>
      <c r="AD585" s="21"/>
      <c r="AE585" s="21"/>
      <c r="AF585" s="21"/>
      <c r="AG585" s="21"/>
      <c r="AH585" s="21"/>
      <c r="AI585" s="21"/>
      <c r="AJ585" s="21"/>
      <c r="AK585" s="21"/>
      <c r="AL585" s="21"/>
      <c r="AM585" s="21"/>
      <c r="AN585" s="21"/>
      <c r="AO585" s="21"/>
      <c r="AP585" s="18">
        <v>2.0</v>
      </c>
      <c r="AQ585" s="21"/>
      <c r="AR585" s="21"/>
      <c r="AS585" s="21"/>
      <c r="AT585" s="21"/>
      <c r="AU585" s="21"/>
      <c r="AV585" s="21"/>
      <c r="AW585" s="21"/>
      <c r="AX585" s="21"/>
      <c r="AY585" s="21"/>
      <c r="AZ585" s="21"/>
      <c r="BA585" s="21"/>
      <c r="BB585" s="21"/>
      <c r="BC585" s="21"/>
      <c r="BD585" s="21"/>
      <c r="BE585" s="21"/>
      <c r="BF585" s="21"/>
      <c r="BG585" s="21"/>
      <c r="BH585" s="21"/>
      <c r="BI585" s="21"/>
      <c r="BJ585" s="21"/>
      <c r="BK585" s="10"/>
    </row>
    <row r="586">
      <c r="A586" s="21"/>
      <c r="B586" s="21"/>
      <c r="C586" s="21"/>
      <c r="D586" s="21"/>
      <c r="E586" s="32">
        <v>3.0</v>
      </c>
      <c r="F586" s="21"/>
      <c r="G586" s="21"/>
      <c r="H586" s="21"/>
      <c r="I586" s="21"/>
      <c r="J586" s="21"/>
      <c r="K586" s="21"/>
      <c r="L586" s="21"/>
      <c r="M586" s="21"/>
      <c r="N586" s="21"/>
      <c r="O586" s="21"/>
      <c r="P586" s="21"/>
      <c r="Q586" s="21"/>
      <c r="R586" s="21"/>
      <c r="S586" s="21"/>
      <c r="T586" s="21"/>
      <c r="U586" s="21"/>
      <c r="V586" s="21"/>
      <c r="W586" s="21"/>
      <c r="X586" s="18">
        <v>3.0</v>
      </c>
      <c r="Y586" s="21"/>
      <c r="Z586" s="21"/>
      <c r="AA586" s="21"/>
      <c r="AB586" s="21"/>
      <c r="AC586" s="21"/>
      <c r="AD586" s="21"/>
      <c r="AE586" s="21"/>
      <c r="AF586" s="21"/>
      <c r="AG586" s="21"/>
      <c r="AH586" s="21"/>
      <c r="AI586" s="21"/>
      <c r="AJ586" s="21"/>
      <c r="AK586" s="21"/>
      <c r="AL586" s="21"/>
      <c r="AM586" s="21"/>
      <c r="AN586" s="21"/>
      <c r="AO586" s="21"/>
      <c r="AP586" s="18">
        <v>3.0</v>
      </c>
      <c r="AQ586" s="21"/>
      <c r="AR586" s="21"/>
      <c r="AS586" s="21"/>
      <c r="AT586" s="21"/>
      <c r="AU586" s="21"/>
      <c r="AV586" s="21"/>
      <c r="AW586" s="21"/>
      <c r="AX586" s="21"/>
      <c r="AY586" s="21"/>
      <c r="AZ586" s="21"/>
      <c r="BA586" s="21"/>
      <c r="BB586" s="21"/>
      <c r="BC586" s="21"/>
      <c r="BD586" s="21"/>
      <c r="BE586" s="21"/>
      <c r="BF586" s="21"/>
      <c r="BG586" s="21"/>
      <c r="BH586" s="21"/>
      <c r="BI586" s="21"/>
      <c r="BJ586" s="21"/>
      <c r="BK586" s="10"/>
    </row>
    <row r="587">
      <c r="A587" s="21"/>
      <c r="B587" s="21"/>
      <c r="C587" s="21"/>
      <c r="D587" s="21"/>
      <c r="E587" s="32">
        <v>4.0</v>
      </c>
      <c r="F587" s="21"/>
      <c r="G587" s="21"/>
      <c r="H587" s="21"/>
      <c r="I587" s="21"/>
      <c r="J587" s="21"/>
      <c r="K587" s="21"/>
      <c r="L587" s="21"/>
      <c r="M587" s="21"/>
      <c r="N587" s="21"/>
      <c r="O587" s="21"/>
      <c r="P587" s="21"/>
      <c r="Q587" s="21"/>
      <c r="R587" s="21"/>
      <c r="S587" s="21"/>
      <c r="T587" s="21"/>
      <c r="U587" s="21"/>
      <c r="V587" s="21"/>
      <c r="W587" s="21"/>
      <c r="X587" s="18">
        <v>4.0</v>
      </c>
      <c r="Y587" s="21"/>
      <c r="Z587" s="21"/>
      <c r="AA587" s="21"/>
      <c r="AB587" s="21"/>
      <c r="AC587" s="21"/>
      <c r="AD587" s="21"/>
      <c r="AE587" s="21"/>
      <c r="AF587" s="21"/>
      <c r="AG587" s="21"/>
      <c r="AH587" s="21"/>
      <c r="AI587" s="21"/>
      <c r="AJ587" s="21"/>
      <c r="AK587" s="21"/>
      <c r="AL587" s="21"/>
      <c r="AM587" s="21"/>
      <c r="AN587" s="21"/>
      <c r="AO587" s="21"/>
      <c r="AP587" s="18">
        <v>4.0</v>
      </c>
      <c r="AQ587" s="21"/>
      <c r="AR587" s="21"/>
      <c r="AS587" s="21"/>
      <c r="AT587" s="21"/>
      <c r="AU587" s="21"/>
      <c r="AV587" s="21"/>
      <c r="AW587" s="21"/>
      <c r="AX587" s="21"/>
      <c r="AY587" s="21"/>
      <c r="AZ587" s="21"/>
      <c r="BA587" s="21"/>
      <c r="BB587" s="21"/>
      <c r="BC587" s="21"/>
      <c r="BD587" s="21"/>
      <c r="BE587" s="21"/>
      <c r="BF587" s="21"/>
      <c r="BG587" s="21"/>
      <c r="BH587" s="21"/>
      <c r="BI587" s="21"/>
      <c r="BJ587" s="21"/>
      <c r="BK587" s="10"/>
    </row>
    <row r="588">
      <c r="A588" s="21"/>
      <c r="B588" s="21"/>
      <c r="C588" s="21"/>
      <c r="D588" s="21"/>
      <c r="E588" s="32">
        <v>5.0</v>
      </c>
      <c r="F588" s="21"/>
      <c r="G588" s="21"/>
      <c r="H588" s="21"/>
      <c r="I588" s="21"/>
      <c r="J588" s="21"/>
      <c r="K588" s="21"/>
      <c r="L588" s="21"/>
      <c r="M588" s="21"/>
      <c r="N588" s="21"/>
      <c r="O588" s="21"/>
      <c r="P588" s="21"/>
      <c r="Q588" s="21"/>
      <c r="R588" s="21"/>
      <c r="S588" s="21"/>
      <c r="T588" s="21"/>
      <c r="U588" s="21"/>
      <c r="V588" s="21"/>
      <c r="W588" s="21"/>
      <c r="X588" s="18">
        <v>5.0</v>
      </c>
      <c r="Y588" s="21"/>
      <c r="Z588" s="21"/>
      <c r="AA588" s="21"/>
      <c r="AB588" s="21"/>
      <c r="AC588" s="21"/>
      <c r="AD588" s="21"/>
      <c r="AE588" s="21"/>
      <c r="AF588" s="21"/>
      <c r="AG588" s="21"/>
      <c r="AH588" s="21"/>
      <c r="AI588" s="21"/>
      <c r="AJ588" s="21"/>
      <c r="AK588" s="21"/>
      <c r="AL588" s="21"/>
      <c r="AM588" s="21"/>
      <c r="AN588" s="21"/>
      <c r="AO588" s="21"/>
      <c r="AP588" s="18">
        <v>5.0</v>
      </c>
      <c r="AQ588" s="21"/>
      <c r="AR588" s="21"/>
      <c r="AS588" s="21"/>
      <c r="AT588" s="21"/>
      <c r="AU588" s="21"/>
      <c r="AV588" s="21"/>
      <c r="AW588" s="21"/>
      <c r="AX588" s="21"/>
      <c r="AY588" s="21"/>
      <c r="AZ588" s="21"/>
      <c r="BA588" s="21"/>
      <c r="BB588" s="21"/>
      <c r="BC588" s="21"/>
      <c r="BD588" s="21"/>
      <c r="BE588" s="21"/>
      <c r="BF588" s="21"/>
      <c r="BG588" s="21"/>
      <c r="BH588" s="21"/>
      <c r="BI588" s="21"/>
      <c r="BJ588" s="21"/>
      <c r="BK588" s="10"/>
    </row>
    <row r="589">
      <c r="A589" s="21"/>
      <c r="B589" s="21"/>
      <c r="C589" s="21"/>
      <c r="D589" s="21"/>
      <c r="E589" s="32">
        <v>6.0</v>
      </c>
      <c r="F589" s="21"/>
      <c r="G589" s="21"/>
      <c r="H589" s="21"/>
      <c r="I589" s="21"/>
      <c r="J589" s="21"/>
      <c r="K589" s="21"/>
      <c r="L589" s="21"/>
      <c r="M589" s="21"/>
      <c r="N589" s="21"/>
      <c r="O589" s="21"/>
      <c r="P589" s="21"/>
      <c r="Q589" s="21"/>
      <c r="R589" s="21"/>
      <c r="S589" s="21"/>
      <c r="T589" s="21"/>
      <c r="U589" s="21"/>
      <c r="V589" s="21"/>
      <c r="W589" s="21"/>
      <c r="X589" s="18">
        <v>6.0</v>
      </c>
      <c r="Y589" s="21"/>
      <c r="Z589" s="21"/>
      <c r="AA589" s="21"/>
      <c r="AB589" s="21"/>
      <c r="AC589" s="21"/>
      <c r="AD589" s="21"/>
      <c r="AE589" s="21"/>
      <c r="AF589" s="21"/>
      <c r="AG589" s="21"/>
      <c r="AH589" s="21"/>
      <c r="AI589" s="21"/>
      <c r="AJ589" s="21"/>
      <c r="AK589" s="21"/>
      <c r="AL589" s="21"/>
      <c r="AM589" s="21"/>
      <c r="AN589" s="21"/>
      <c r="AO589" s="21"/>
      <c r="AP589" s="18">
        <v>6.0</v>
      </c>
      <c r="AQ589" s="21"/>
      <c r="AR589" s="21"/>
      <c r="AS589" s="21"/>
      <c r="AT589" s="21"/>
      <c r="AU589" s="21"/>
      <c r="AV589" s="21"/>
      <c r="AW589" s="21"/>
      <c r="AX589" s="21"/>
      <c r="AY589" s="21"/>
      <c r="AZ589" s="21"/>
      <c r="BA589" s="21"/>
      <c r="BB589" s="21"/>
      <c r="BC589" s="21"/>
      <c r="BD589" s="21"/>
      <c r="BE589" s="21"/>
      <c r="BF589" s="21"/>
      <c r="BG589" s="21"/>
      <c r="BH589" s="21"/>
      <c r="BI589" s="21"/>
      <c r="BJ589" s="21"/>
      <c r="BK589" s="10"/>
    </row>
    <row r="590">
      <c r="A590" s="21"/>
      <c r="B590" s="21"/>
      <c r="C590" s="21"/>
      <c r="D590" s="21"/>
      <c r="E590" s="32">
        <v>7.0</v>
      </c>
      <c r="F590" s="21"/>
      <c r="G590" s="21"/>
      <c r="H590" s="21"/>
      <c r="I590" s="21"/>
      <c r="J590" s="21"/>
      <c r="K590" s="21"/>
      <c r="L590" s="21"/>
      <c r="M590" s="21"/>
      <c r="N590" s="21"/>
      <c r="O590" s="21"/>
      <c r="P590" s="21"/>
      <c r="Q590" s="21"/>
      <c r="R590" s="21"/>
      <c r="S590" s="21"/>
      <c r="T590" s="21"/>
      <c r="U590" s="21"/>
      <c r="V590" s="21"/>
      <c r="W590" s="21"/>
      <c r="X590" s="18">
        <v>7.0</v>
      </c>
      <c r="Y590" s="21"/>
      <c r="Z590" s="21"/>
      <c r="AA590" s="21"/>
      <c r="AB590" s="21"/>
      <c r="AC590" s="21"/>
      <c r="AD590" s="21"/>
      <c r="AE590" s="21"/>
      <c r="AF590" s="21"/>
      <c r="AG590" s="21"/>
      <c r="AH590" s="21"/>
      <c r="AI590" s="21"/>
      <c r="AJ590" s="21"/>
      <c r="AK590" s="21"/>
      <c r="AL590" s="21"/>
      <c r="AM590" s="21"/>
      <c r="AN590" s="21"/>
      <c r="AO590" s="21"/>
      <c r="AP590" s="18">
        <v>7.0</v>
      </c>
      <c r="AQ590" s="21"/>
      <c r="AR590" s="21"/>
      <c r="AS590" s="21"/>
      <c r="AT590" s="21"/>
      <c r="AU590" s="21"/>
      <c r="AV590" s="21"/>
      <c r="AW590" s="21"/>
      <c r="AX590" s="21"/>
      <c r="AY590" s="21"/>
      <c r="AZ590" s="21"/>
      <c r="BA590" s="21"/>
      <c r="BB590" s="21"/>
      <c r="BC590" s="21"/>
      <c r="BD590" s="21"/>
      <c r="BE590" s="21"/>
      <c r="BF590" s="21"/>
      <c r="BG590" s="21"/>
      <c r="BH590" s="21"/>
      <c r="BI590" s="21"/>
      <c r="BJ590" s="21"/>
      <c r="BK590" s="10"/>
    </row>
    <row r="591">
      <c r="A591" s="21"/>
      <c r="B591" s="21"/>
      <c r="C591" s="21"/>
      <c r="D591" s="21"/>
      <c r="E591" s="32">
        <v>8.0</v>
      </c>
      <c r="F591" s="21"/>
      <c r="G591" s="21"/>
      <c r="H591" s="21"/>
      <c r="I591" s="21"/>
      <c r="J591" s="21"/>
      <c r="K591" s="21"/>
      <c r="L591" s="21"/>
      <c r="M591" s="21"/>
      <c r="N591" s="21"/>
      <c r="O591" s="21"/>
      <c r="P591" s="21"/>
      <c r="Q591" s="21"/>
      <c r="R591" s="21"/>
      <c r="S591" s="21"/>
      <c r="T591" s="21"/>
      <c r="U591" s="21"/>
      <c r="V591" s="21"/>
      <c r="W591" s="21"/>
      <c r="X591" s="18">
        <v>8.0</v>
      </c>
      <c r="Y591" s="21"/>
      <c r="Z591" s="21"/>
      <c r="AA591" s="21"/>
      <c r="AB591" s="21"/>
      <c r="AC591" s="21"/>
      <c r="AD591" s="21"/>
      <c r="AE591" s="21"/>
      <c r="AF591" s="21"/>
      <c r="AG591" s="21"/>
      <c r="AH591" s="21"/>
      <c r="AI591" s="21"/>
      <c r="AJ591" s="21"/>
      <c r="AK591" s="21"/>
      <c r="AL591" s="21"/>
      <c r="AM591" s="21"/>
      <c r="AN591" s="21"/>
      <c r="AO591" s="21"/>
      <c r="AP591" s="18">
        <v>8.0</v>
      </c>
      <c r="AQ591" s="21"/>
      <c r="AR591" s="21"/>
      <c r="AS591" s="21"/>
      <c r="AT591" s="21"/>
      <c r="AU591" s="21"/>
      <c r="AV591" s="21"/>
      <c r="AW591" s="21"/>
      <c r="AX591" s="21"/>
      <c r="AY591" s="21"/>
      <c r="AZ591" s="21"/>
      <c r="BA591" s="21"/>
      <c r="BB591" s="21"/>
      <c r="BC591" s="21"/>
      <c r="BD591" s="21"/>
      <c r="BE591" s="21"/>
      <c r="BF591" s="21"/>
      <c r="BG591" s="21"/>
      <c r="BH591" s="21"/>
      <c r="BI591" s="21"/>
      <c r="BJ591" s="21"/>
      <c r="BK591" s="10"/>
    </row>
    <row r="592">
      <c r="A592" s="21"/>
      <c r="B592" s="21"/>
      <c r="C592" s="21"/>
      <c r="D592" s="21"/>
      <c r="E592" s="32">
        <v>9.0</v>
      </c>
      <c r="F592" s="21"/>
      <c r="G592" s="21"/>
      <c r="H592" s="21"/>
      <c r="I592" s="21"/>
      <c r="J592" s="21"/>
      <c r="K592" s="21"/>
      <c r="L592" s="21"/>
      <c r="M592" s="21"/>
      <c r="N592" s="21"/>
      <c r="O592" s="21"/>
      <c r="P592" s="21"/>
      <c r="Q592" s="21"/>
      <c r="R592" s="21"/>
      <c r="S592" s="21"/>
      <c r="T592" s="21"/>
      <c r="U592" s="21"/>
      <c r="V592" s="21"/>
      <c r="W592" s="21"/>
      <c r="X592" s="18">
        <v>9.0</v>
      </c>
      <c r="Y592" s="21"/>
      <c r="Z592" s="21"/>
      <c r="AA592" s="21"/>
      <c r="AB592" s="21"/>
      <c r="AC592" s="21"/>
      <c r="AD592" s="21"/>
      <c r="AE592" s="21"/>
      <c r="AF592" s="21"/>
      <c r="AG592" s="21"/>
      <c r="AH592" s="21"/>
      <c r="AI592" s="21"/>
      <c r="AJ592" s="21"/>
      <c r="AK592" s="21"/>
      <c r="AL592" s="21"/>
      <c r="AM592" s="21"/>
      <c r="AN592" s="21"/>
      <c r="AO592" s="21"/>
      <c r="AP592" s="18">
        <v>9.0</v>
      </c>
      <c r="AQ592" s="21"/>
      <c r="AR592" s="21"/>
      <c r="AS592" s="21"/>
      <c r="AT592" s="21"/>
      <c r="AU592" s="21"/>
      <c r="AV592" s="21"/>
      <c r="AW592" s="21"/>
      <c r="AX592" s="21"/>
      <c r="AY592" s="21"/>
      <c r="AZ592" s="21"/>
      <c r="BA592" s="21"/>
      <c r="BB592" s="21"/>
      <c r="BC592" s="21"/>
      <c r="BD592" s="21"/>
      <c r="BE592" s="21"/>
      <c r="BF592" s="21"/>
      <c r="BG592" s="21"/>
      <c r="BH592" s="21"/>
      <c r="BI592" s="21"/>
      <c r="BJ592" s="21"/>
      <c r="BK592" s="10"/>
    </row>
    <row r="593">
      <c r="A593" s="21"/>
      <c r="B593" s="21"/>
      <c r="C593" s="21"/>
      <c r="D593" s="21"/>
      <c r="E593" s="32">
        <v>10.0</v>
      </c>
      <c r="F593" s="21"/>
      <c r="G593" s="21"/>
      <c r="H593" s="21"/>
      <c r="I593" s="21"/>
      <c r="J593" s="21"/>
      <c r="K593" s="21"/>
      <c r="L593" s="21"/>
      <c r="M593" s="21"/>
      <c r="N593" s="21"/>
      <c r="O593" s="21"/>
      <c r="P593" s="21"/>
      <c r="Q593" s="21"/>
      <c r="R593" s="21"/>
      <c r="S593" s="21"/>
      <c r="T593" s="21"/>
      <c r="U593" s="21"/>
      <c r="V593" s="21"/>
      <c r="W593" s="21"/>
      <c r="X593" s="18">
        <v>10.0</v>
      </c>
      <c r="Y593" s="21"/>
      <c r="Z593" s="21"/>
      <c r="AA593" s="21"/>
      <c r="AB593" s="21"/>
      <c r="AC593" s="21"/>
      <c r="AD593" s="21"/>
      <c r="AE593" s="21"/>
      <c r="AF593" s="21"/>
      <c r="AG593" s="21"/>
      <c r="AH593" s="21"/>
      <c r="AI593" s="21"/>
      <c r="AJ593" s="21"/>
      <c r="AK593" s="21"/>
      <c r="AL593" s="21"/>
      <c r="AM593" s="21"/>
      <c r="AN593" s="21"/>
      <c r="AO593" s="21"/>
      <c r="AP593" s="18">
        <v>10.0</v>
      </c>
      <c r="AQ593" s="21"/>
      <c r="AR593" s="21"/>
      <c r="AS593" s="21"/>
      <c r="AT593" s="21"/>
      <c r="AU593" s="21"/>
      <c r="AV593" s="21"/>
      <c r="AW593" s="21"/>
      <c r="AX593" s="21"/>
      <c r="AY593" s="21"/>
      <c r="AZ593" s="21"/>
      <c r="BA593" s="21"/>
      <c r="BB593" s="21"/>
      <c r="BC593" s="21"/>
      <c r="BD593" s="21"/>
      <c r="BE593" s="21"/>
      <c r="BF593" s="21"/>
      <c r="BG593" s="21"/>
      <c r="BH593" s="21"/>
      <c r="BI593" s="21"/>
      <c r="BJ593" s="21"/>
      <c r="BK593" s="10"/>
    </row>
    <row r="594">
      <c r="A594" s="21"/>
      <c r="B594" s="21"/>
      <c r="C594" s="21"/>
      <c r="D594" s="21"/>
      <c r="E594" s="32">
        <v>11.0</v>
      </c>
      <c r="F594" s="21"/>
      <c r="G594" s="21"/>
      <c r="H594" s="21"/>
      <c r="I594" s="21"/>
      <c r="J594" s="21"/>
      <c r="K594" s="21"/>
      <c r="L594" s="21"/>
      <c r="M594" s="21"/>
      <c r="N594" s="21"/>
      <c r="O594" s="21"/>
      <c r="P594" s="21"/>
      <c r="Q594" s="21"/>
      <c r="R594" s="21"/>
      <c r="S594" s="21"/>
      <c r="T594" s="21"/>
      <c r="U594" s="21"/>
      <c r="V594" s="21"/>
      <c r="W594" s="21"/>
      <c r="X594" s="18">
        <v>11.0</v>
      </c>
      <c r="Y594" s="21"/>
      <c r="Z594" s="21"/>
      <c r="AA594" s="21"/>
      <c r="AB594" s="21"/>
      <c r="AC594" s="21"/>
      <c r="AD594" s="21"/>
      <c r="AE594" s="21"/>
      <c r="AF594" s="21"/>
      <c r="AG594" s="21"/>
      <c r="AH594" s="21"/>
      <c r="AI594" s="21"/>
      <c r="AJ594" s="21"/>
      <c r="AK594" s="21"/>
      <c r="AL594" s="21"/>
      <c r="AM594" s="21"/>
      <c r="AN594" s="21"/>
      <c r="AO594" s="21"/>
      <c r="AP594" s="18">
        <v>11.0</v>
      </c>
      <c r="AQ594" s="21"/>
      <c r="AR594" s="21"/>
      <c r="AS594" s="21"/>
      <c r="AT594" s="21"/>
      <c r="AU594" s="21"/>
      <c r="AV594" s="21"/>
      <c r="AW594" s="21"/>
      <c r="AX594" s="21"/>
      <c r="AY594" s="21"/>
      <c r="AZ594" s="21"/>
      <c r="BA594" s="21"/>
      <c r="BB594" s="21"/>
      <c r="BC594" s="21"/>
      <c r="BD594" s="21"/>
      <c r="BE594" s="21"/>
      <c r="BF594" s="21"/>
      <c r="BG594" s="21"/>
      <c r="BH594" s="21"/>
      <c r="BI594" s="21"/>
      <c r="BJ594" s="21"/>
      <c r="BK594" s="10"/>
    </row>
    <row r="595">
      <c r="A595" s="21"/>
      <c r="B595" s="21"/>
      <c r="C595" s="21"/>
      <c r="D595" s="21"/>
      <c r="E595" s="32">
        <v>12.0</v>
      </c>
      <c r="F595" s="21"/>
      <c r="G595" s="21"/>
      <c r="H595" s="21"/>
      <c r="I595" s="21"/>
      <c r="J595" s="21"/>
      <c r="K595" s="21"/>
      <c r="L595" s="21"/>
      <c r="M595" s="21"/>
      <c r="N595" s="21"/>
      <c r="O595" s="21"/>
      <c r="P595" s="21"/>
      <c r="Q595" s="21"/>
      <c r="R595" s="21"/>
      <c r="S595" s="21"/>
      <c r="T595" s="21"/>
      <c r="U595" s="21"/>
      <c r="V595" s="21"/>
      <c r="W595" s="21"/>
      <c r="X595" s="18">
        <v>12.0</v>
      </c>
      <c r="Y595" s="21"/>
      <c r="Z595" s="21"/>
      <c r="AA595" s="21"/>
      <c r="AB595" s="21"/>
      <c r="AC595" s="21"/>
      <c r="AD595" s="21"/>
      <c r="AE595" s="21"/>
      <c r="AF595" s="21"/>
      <c r="AG595" s="21"/>
      <c r="AH595" s="21"/>
      <c r="AI595" s="21"/>
      <c r="AJ595" s="21"/>
      <c r="AK595" s="21"/>
      <c r="AL595" s="21"/>
      <c r="AM595" s="21"/>
      <c r="AN595" s="21"/>
      <c r="AO595" s="21"/>
      <c r="AP595" s="18">
        <v>12.0</v>
      </c>
      <c r="AQ595" s="21"/>
      <c r="AR595" s="21"/>
      <c r="AS595" s="21"/>
      <c r="AT595" s="21"/>
      <c r="AU595" s="21"/>
      <c r="AV595" s="21"/>
      <c r="AW595" s="21"/>
      <c r="AX595" s="21"/>
      <c r="AY595" s="21"/>
      <c r="AZ595" s="21"/>
      <c r="BA595" s="21"/>
      <c r="BB595" s="21"/>
      <c r="BC595" s="21"/>
      <c r="BD595" s="21"/>
      <c r="BE595" s="21"/>
      <c r="BF595" s="21"/>
      <c r="BG595" s="21"/>
      <c r="BH595" s="21"/>
      <c r="BI595" s="21"/>
      <c r="BJ595" s="21"/>
      <c r="BK595" s="10"/>
    </row>
    <row r="596">
      <c r="A596" s="22"/>
      <c r="B596" s="22"/>
      <c r="C596" s="22"/>
      <c r="D596" s="22"/>
      <c r="E596" s="32">
        <v>13.0</v>
      </c>
      <c r="F596" s="22"/>
      <c r="G596" s="22"/>
      <c r="H596" s="22"/>
      <c r="I596" s="22"/>
      <c r="J596" s="22"/>
      <c r="K596" s="22"/>
      <c r="L596" s="22"/>
      <c r="M596" s="22"/>
      <c r="N596" s="22"/>
      <c r="O596" s="22"/>
      <c r="P596" s="22"/>
      <c r="Q596" s="22"/>
      <c r="R596" s="22"/>
      <c r="S596" s="22"/>
      <c r="T596" s="22"/>
      <c r="U596" s="22"/>
      <c r="V596" s="22"/>
      <c r="W596" s="22"/>
      <c r="X596" s="18">
        <v>13.0</v>
      </c>
      <c r="Y596" s="22"/>
      <c r="Z596" s="22"/>
      <c r="AA596" s="22"/>
      <c r="AB596" s="22"/>
      <c r="AC596" s="22"/>
      <c r="AD596" s="22"/>
      <c r="AE596" s="22"/>
      <c r="AF596" s="22"/>
      <c r="AG596" s="22"/>
      <c r="AH596" s="22"/>
      <c r="AI596" s="22"/>
      <c r="AJ596" s="22"/>
      <c r="AK596" s="22"/>
      <c r="AL596" s="22"/>
      <c r="AM596" s="22"/>
      <c r="AN596" s="22"/>
      <c r="AO596" s="22"/>
      <c r="AP596" s="18">
        <v>13.0</v>
      </c>
      <c r="AQ596" s="22"/>
      <c r="AR596" s="22"/>
      <c r="AS596" s="22"/>
      <c r="AT596" s="22"/>
      <c r="AU596" s="22"/>
      <c r="AV596" s="22"/>
      <c r="AW596" s="22"/>
      <c r="AX596" s="22"/>
      <c r="AY596" s="22"/>
      <c r="AZ596" s="22"/>
      <c r="BA596" s="22"/>
      <c r="BB596" s="22"/>
      <c r="BC596" s="22"/>
      <c r="BD596" s="22"/>
      <c r="BE596" s="22"/>
      <c r="BF596" s="22"/>
      <c r="BG596" s="22"/>
      <c r="BH596" s="22"/>
      <c r="BI596" s="22"/>
      <c r="BJ596" s="22"/>
      <c r="BK596" s="10"/>
    </row>
    <row r="597">
      <c r="A597" s="16" t="s">
        <v>230</v>
      </c>
      <c r="B597" s="27" t="s">
        <v>101</v>
      </c>
      <c r="C597" s="16" t="s">
        <v>117</v>
      </c>
      <c r="D597" s="16">
        <v>5.0</v>
      </c>
      <c r="E597" s="18">
        <v>3.0</v>
      </c>
      <c r="F597" s="16" t="s">
        <v>85</v>
      </c>
      <c r="G597" s="16" t="s">
        <v>85</v>
      </c>
      <c r="H597" s="16" t="s">
        <v>85</v>
      </c>
      <c r="I597" s="16" t="s">
        <v>85</v>
      </c>
      <c r="J597" s="16" t="s">
        <v>85</v>
      </c>
      <c r="K597" s="16" t="s">
        <v>85</v>
      </c>
      <c r="L597" s="16" t="s">
        <v>85</v>
      </c>
      <c r="M597" s="16" t="s">
        <v>85</v>
      </c>
      <c r="N597" s="16" t="s">
        <v>85</v>
      </c>
      <c r="O597" s="16" t="s">
        <v>85</v>
      </c>
      <c r="P597" s="16" t="s">
        <v>85</v>
      </c>
      <c r="Q597" s="16" t="s">
        <v>85</v>
      </c>
      <c r="R597" s="16" t="s">
        <v>85</v>
      </c>
      <c r="S597" s="16" t="s">
        <v>85</v>
      </c>
      <c r="T597" s="18">
        <v>480.0</v>
      </c>
      <c r="U597" s="16" t="s">
        <v>85</v>
      </c>
      <c r="V597" s="16" t="s">
        <v>85</v>
      </c>
      <c r="W597" s="16" t="s">
        <v>113</v>
      </c>
      <c r="X597" s="18">
        <v>3.0</v>
      </c>
      <c r="Y597" s="16" t="s">
        <v>85</v>
      </c>
      <c r="Z597" s="16" t="s">
        <v>85</v>
      </c>
      <c r="AA597" s="16" t="s">
        <v>85</v>
      </c>
      <c r="AB597" s="16" t="s">
        <v>85</v>
      </c>
      <c r="AC597" s="16" t="s">
        <v>231</v>
      </c>
      <c r="AD597" s="16" t="s">
        <v>85</v>
      </c>
      <c r="AE597" s="16" t="s">
        <v>85</v>
      </c>
      <c r="AF597" s="16" t="s">
        <v>85</v>
      </c>
      <c r="AG597" s="16" t="s">
        <v>85</v>
      </c>
      <c r="AH597" s="16" t="s">
        <v>85</v>
      </c>
      <c r="AI597" s="16" t="s">
        <v>85</v>
      </c>
      <c r="AJ597" s="16" t="s">
        <v>85</v>
      </c>
      <c r="AK597" s="16" t="s">
        <v>85</v>
      </c>
      <c r="AL597" s="16" t="s">
        <v>128</v>
      </c>
      <c r="AM597" s="16" t="s">
        <v>85</v>
      </c>
      <c r="AN597" s="16" t="s">
        <v>85</v>
      </c>
      <c r="AO597" s="16" t="s">
        <v>85</v>
      </c>
      <c r="AP597" s="16" t="s">
        <v>85</v>
      </c>
      <c r="AQ597" s="16" t="s">
        <v>85</v>
      </c>
      <c r="AR597" s="16" t="s">
        <v>85</v>
      </c>
      <c r="AS597" s="16" t="s">
        <v>85</v>
      </c>
      <c r="AT597" s="16" t="s">
        <v>85</v>
      </c>
      <c r="AU597" s="16" t="s">
        <v>85</v>
      </c>
      <c r="AV597" s="16" t="s">
        <v>85</v>
      </c>
      <c r="AW597" s="16" t="s">
        <v>85</v>
      </c>
      <c r="AX597" s="16" t="s">
        <v>85</v>
      </c>
      <c r="AY597" s="16" t="s">
        <v>85</v>
      </c>
      <c r="AZ597" s="16" t="s">
        <v>85</v>
      </c>
      <c r="BA597" s="16" t="s">
        <v>85</v>
      </c>
      <c r="BB597" s="16" t="s">
        <v>85</v>
      </c>
      <c r="BC597" s="16" t="s">
        <v>85</v>
      </c>
      <c r="BD597" s="16" t="s">
        <v>85</v>
      </c>
      <c r="BE597" s="16" t="s">
        <v>85</v>
      </c>
      <c r="BF597" s="16" t="s">
        <v>85</v>
      </c>
      <c r="BG597" s="16" t="s">
        <v>85</v>
      </c>
      <c r="BH597" s="16" t="s">
        <v>85</v>
      </c>
      <c r="BI597" s="16" t="s">
        <v>85</v>
      </c>
      <c r="BJ597" s="16" t="s">
        <v>85</v>
      </c>
      <c r="BK597" s="10"/>
    </row>
    <row r="598">
      <c r="A598" s="21"/>
      <c r="B598" s="21"/>
      <c r="C598" s="21"/>
      <c r="D598" s="21"/>
      <c r="E598" s="18">
        <v>4.0</v>
      </c>
      <c r="F598" s="21"/>
      <c r="G598" s="21"/>
      <c r="H598" s="21"/>
      <c r="I598" s="21"/>
      <c r="J598" s="21"/>
      <c r="K598" s="21"/>
      <c r="L598" s="21"/>
      <c r="M598" s="21"/>
      <c r="N598" s="21"/>
      <c r="O598" s="21"/>
      <c r="P598" s="21"/>
      <c r="Q598" s="21"/>
      <c r="R598" s="21"/>
      <c r="S598" s="21"/>
      <c r="T598" s="19">
        <v>528.0</v>
      </c>
      <c r="U598" s="21"/>
      <c r="V598" s="21"/>
      <c r="W598" s="21"/>
      <c r="X598" s="18">
        <v>4.0</v>
      </c>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c r="BE598" s="21"/>
      <c r="BF598" s="21"/>
      <c r="BG598" s="21"/>
      <c r="BH598" s="21"/>
      <c r="BI598" s="21"/>
      <c r="BJ598" s="21"/>
      <c r="BK598" s="10"/>
    </row>
    <row r="599">
      <c r="A599" s="21"/>
      <c r="B599" s="21"/>
      <c r="C599" s="21"/>
      <c r="D599" s="21"/>
      <c r="E599" s="18">
        <v>5.0</v>
      </c>
      <c r="F599" s="21"/>
      <c r="G599" s="21"/>
      <c r="H599" s="21"/>
      <c r="I599" s="21"/>
      <c r="J599" s="21"/>
      <c r="K599" s="21"/>
      <c r="L599" s="21"/>
      <c r="M599" s="21"/>
      <c r="N599" s="21"/>
      <c r="O599" s="21"/>
      <c r="P599" s="21"/>
      <c r="Q599" s="21"/>
      <c r="R599" s="21"/>
      <c r="S599" s="21"/>
      <c r="T599" s="19">
        <v>580.0</v>
      </c>
      <c r="U599" s="21"/>
      <c r="V599" s="21"/>
      <c r="W599" s="21"/>
      <c r="X599" s="18">
        <v>5.0</v>
      </c>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c r="BE599" s="21"/>
      <c r="BF599" s="21"/>
      <c r="BG599" s="21"/>
      <c r="BH599" s="21"/>
      <c r="BI599" s="21"/>
      <c r="BJ599" s="21"/>
      <c r="BK599" s="10"/>
    </row>
    <row r="600">
      <c r="A600" s="21"/>
      <c r="B600" s="21"/>
      <c r="C600" s="21"/>
      <c r="D600" s="21"/>
      <c r="E600" s="18">
        <v>6.0</v>
      </c>
      <c r="F600" s="21"/>
      <c r="G600" s="21"/>
      <c r="H600" s="21"/>
      <c r="I600" s="21"/>
      <c r="J600" s="21"/>
      <c r="K600" s="21"/>
      <c r="L600" s="21"/>
      <c r="M600" s="21"/>
      <c r="N600" s="21"/>
      <c r="O600" s="21"/>
      <c r="P600" s="21"/>
      <c r="Q600" s="21"/>
      <c r="R600" s="21"/>
      <c r="S600" s="21"/>
      <c r="T600" s="19">
        <v>638.0</v>
      </c>
      <c r="U600" s="21"/>
      <c r="V600" s="21"/>
      <c r="W600" s="21"/>
      <c r="X600" s="18">
        <v>6.0</v>
      </c>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c r="BE600" s="21"/>
      <c r="BF600" s="21"/>
      <c r="BG600" s="21"/>
      <c r="BH600" s="21"/>
      <c r="BI600" s="21"/>
      <c r="BJ600" s="21"/>
      <c r="BK600" s="10"/>
    </row>
    <row r="601">
      <c r="A601" s="21"/>
      <c r="B601" s="21"/>
      <c r="C601" s="21"/>
      <c r="D601" s="21"/>
      <c r="E601" s="18">
        <v>7.0</v>
      </c>
      <c r="F601" s="21"/>
      <c r="G601" s="21"/>
      <c r="H601" s="21"/>
      <c r="I601" s="21"/>
      <c r="J601" s="21"/>
      <c r="K601" s="21"/>
      <c r="L601" s="21"/>
      <c r="M601" s="21"/>
      <c r="N601" s="21"/>
      <c r="O601" s="21"/>
      <c r="P601" s="21"/>
      <c r="Q601" s="21"/>
      <c r="R601" s="21"/>
      <c r="S601" s="21"/>
      <c r="T601" s="19">
        <v>700.0</v>
      </c>
      <c r="U601" s="21"/>
      <c r="V601" s="21"/>
      <c r="W601" s="21"/>
      <c r="X601" s="18">
        <v>7.0</v>
      </c>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c r="BE601" s="21"/>
      <c r="BF601" s="21"/>
      <c r="BG601" s="21"/>
      <c r="BH601" s="21"/>
      <c r="BI601" s="21"/>
      <c r="BJ601" s="21"/>
      <c r="BK601" s="10"/>
    </row>
    <row r="602">
      <c r="A602" s="21"/>
      <c r="B602" s="21"/>
      <c r="C602" s="21"/>
      <c r="D602" s="21"/>
      <c r="E602" s="18">
        <v>8.0</v>
      </c>
      <c r="F602" s="21"/>
      <c r="G602" s="21"/>
      <c r="H602" s="21"/>
      <c r="I602" s="21"/>
      <c r="J602" s="21"/>
      <c r="K602" s="21"/>
      <c r="L602" s="21"/>
      <c r="M602" s="21"/>
      <c r="N602" s="21"/>
      <c r="O602" s="21"/>
      <c r="P602" s="21"/>
      <c r="Q602" s="21"/>
      <c r="R602" s="21"/>
      <c r="S602" s="21"/>
      <c r="T602" s="19">
        <v>768.0</v>
      </c>
      <c r="U602" s="21"/>
      <c r="V602" s="21"/>
      <c r="W602" s="21"/>
      <c r="X602" s="18">
        <v>8.0</v>
      </c>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c r="BE602" s="21"/>
      <c r="BF602" s="21"/>
      <c r="BG602" s="21"/>
      <c r="BH602" s="21"/>
      <c r="BI602" s="21"/>
      <c r="BJ602" s="21"/>
      <c r="BK602" s="10"/>
    </row>
    <row r="603">
      <c r="A603" s="21"/>
      <c r="B603" s="21"/>
      <c r="C603" s="21"/>
      <c r="D603" s="21"/>
      <c r="E603" s="18">
        <v>9.0</v>
      </c>
      <c r="F603" s="21"/>
      <c r="G603" s="21"/>
      <c r="H603" s="21"/>
      <c r="I603" s="21"/>
      <c r="J603" s="21"/>
      <c r="K603" s="21"/>
      <c r="L603" s="21"/>
      <c r="M603" s="21"/>
      <c r="N603" s="21"/>
      <c r="O603" s="21"/>
      <c r="P603" s="21"/>
      <c r="Q603" s="21"/>
      <c r="R603" s="21"/>
      <c r="S603" s="21"/>
      <c r="T603" s="19">
        <v>844.0</v>
      </c>
      <c r="U603" s="21"/>
      <c r="V603" s="21"/>
      <c r="W603" s="21"/>
      <c r="X603" s="18">
        <v>9.0</v>
      </c>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c r="BE603" s="21"/>
      <c r="BF603" s="21"/>
      <c r="BG603" s="21"/>
      <c r="BH603" s="21"/>
      <c r="BI603" s="21"/>
      <c r="BJ603" s="21"/>
      <c r="BK603" s="10"/>
    </row>
    <row r="604">
      <c r="A604" s="21"/>
      <c r="B604" s="21"/>
      <c r="C604" s="21"/>
      <c r="D604" s="21"/>
      <c r="E604" s="18">
        <v>10.0</v>
      </c>
      <c r="F604" s="21"/>
      <c r="G604" s="21"/>
      <c r="H604" s="21"/>
      <c r="I604" s="21"/>
      <c r="J604" s="21"/>
      <c r="K604" s="21"/>
      <c r="L604" s="21"/>
      <c r="M604" s="21"/>
      <c r="N604" s="21"/>
      <c r="O604" s="21"/>
      <c r="P604" s="21"/>
      <c r="Q604" s="21"/>
      <c r="R604" s="21"/>
      <c r="S604" s="21"/>
      <c r="T604" s="19">
        <v>926.0</v>
      </c>
      <c r="U604" s="21"/>
      <c r="V604" s="21"/>
      <c r="W604" s="21"/>
      <c r="X604" s="18">
        <v>10.0</v>
      </c>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c r="BE604" s="21"/>
      <c r="BF604" s="21"/>
      <c r="BG604" s="21"/>
      <c r="BH604" s="21"/>
      <c r="BI604" s="21"/>
      <c r="BJ604" s="21"/>
      <c r="BK604" s="10"/>
    </row>
    <row r="605">
      <c r="A605" s="21"/>
      <c r="B605" s="21"/>
      <c r="C605" s="21"/>
      <c r="D605" s="21"/>
      <c r="E605" s="18">
        <v>11.0</v>
      </c>
      <c r="F605" s="21"/>
      <c r="G605" s="21"/>
      <c r="H605" s="21"/>
      <c r="I605" s="21"/>
      <c r="J605" s="21"/>
      <c r="K605" s="21"/>
      <c r="L605" s="21"/>
      <c r="M605" s="21"/>
      <c r="N605" s="21"/>
      <c r="O605" s="21"/>
      <c r="P605" s="21"/>
      <c r="Q605" s="21"/>
      <c r="R605" s="21"/>
      <c r="S605" s="21"/>
      <c r="T605" s="19">
        <v>1017.0</v>
      </c>
      <c r="U605" s="21"/>
      <c r="V605" s="21"/>
      <c r="W605" s="21"/>
      <c r="X605" s="18">
        <v>11.0</v>
      </c>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c r="BE605" s="21"/>
      <c r="BF605" s="21"/>
      <c r="BG605" s="21"/>
      <c r="BH605" s="21"/>
      <c r="BI605" s="21"/>
      <c r="BJ605" s="21"/>
      <c r="BK605" s="10"/>
    </row>
    <row r="606">
      <c r="A606" s="21"/>
      <c r="B606" s="21"/>
      <c r="C606" s="21"/>
      <c r="D606" s="21"/>
      <c r="E606" s="18">
        <v>12.0</v>
      </c>
      <c r="F606" s="21"/>
      <c r="G606" s="21"/>
      <c r="H606" s="21"/>
      <c r="I606" s="21"/>
      <c r="J606" s="21"/>
      <c r="K606" s="21"/>
      <c r="L606" s="21"/>
      <c r="M606" s="21"/>
      <c r="N606" s="21"/>
      <c r="O606" s="21"/>
      <c r="P606" s="21"/>
      <c r="Q606" s="21"/>
      <c r="R606" s="21"/>
      <c r="S606" s="21"/>
      <c r="T606" s="19">
        <v>1118.0</v>
      </c>
      <c r="U606" s="21"/>
      <c r="V606" s="21"/>
      <c r="W606" s="21"/>
      <c r="X606" s="18">
        <v>12.0</v>
      </c>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c r="BE606" s="21"/>
      <c r="BF606" s="21"/>
      <c r="BG606" s="21"/>
      <c r="BH606" s="21"/>
      <c r="BI606" s="21"/>
      <c r="BJ606" s="21"/>
      <c r="BK606" s="10"/>
    </row>
    <row r="607">
      <c r="A607" s="22"/>
      <c r="B607" s="22"/>
      <c r="C607" s="22"/>
      <c r="D607" s="22"/>
      <c r="E607" s="18">
        <v>13.0</v>
      </c>
      <c r="F607" s="22"/>
      <c r="G607" s="22"/>
      <c r="H607" s="22"/>
      <c r="I607" s="22"/>
      <c r="J607" s="22"/>
      <c r="K607" s="22"/>
      <c r="L607" s="22"/>
      <c r="M607" s="22"/>
      <c r="N607" s="22"/>
      <c r="O607" s="22"/>
      <c r="P607" s="22"/>
      <c r="Q607" s="22"/>
      <c r="R607" s="22"/>
      <c r="S607" s="22"/>
      <c r="T607" s="19">
        <v>1228.0</v>
      </c>
      <c r="U607" s="22"/>
      <c r="V607" s="22"/>
      <c r="W607" s="22"/>
      <c r="X607" s="18">
        <v>13.0</v>
      </c>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10"/>
    </row>
    <row r="608">
      <c r="A608" s="16" t="s">
        <v>232</v>
      </c>
      <c r="B608" s="27" t="s">
        <v>101</v>
      </c>
      <c r="C608" s="16" t="s">
        <v>87</v>
      </c>
      <c r="D608" s="16">
        <v>3.0</v>
      </c>
      <c r="E608" s="18">
        <v>3.0</v>
      </c>
      <c r="F608" s="18">
        <v>57.0</v>
      </c>
      <c r="G608" s="16" t="s">
        <v>85</v>
      </c>
      <c r="H608" s="16" t="s">
        <v>85</v>
      </c>
      <c r="I608" s="16" t="s">
        <v>85</v>
      </c>
      <c r="J608" s="16" t="s">
        <v>85</v>
      </c>
      <c r="K608" s="16" t="s">
        <v>85</v>
      </c>
      <c r="L608" s="16" t="s">
        <v>85</v>
      </c>
      <c r="M608" s="16" t="s">
        <v>85</v>
      </c>
      <c r="N608" s="16" t="s">
        <v>85</v>
      </c>
      <c r="O608" s="16" t="s">
        <v>85</v>
      </c>
      <c r="P608" s="16" t="s">
        <v>85</v>
      </c>
      <c r="Q608" s="19">
        <v>81.0</v>
      </c>
      <c r="R608" s="16" t="s">
        <v>85</v>
      </c>
      <c r="S608" s="16" t="s">
        <v>85</v>
      </c>
      <c r="T608" s="18">
        <v>123.0</v>
      </c>
      <c r="U608" s="16" t="s">
        <v>85</v>
      </c>
      <c r="V608" s="16" t="s">
        <v>85</v>
      </c>
      <c r="W608" s="16" t="s">
        <v>85</v>
      </c>
      <c r="X608" s="16" t="s">
        <v>85</v>
      </c>
      <c r="Y608" s="16" t="s">
        <v>85</v>
      </c>
      <c r="Z608" s="16" t="s">
        <v>85</v>
      </c>
      <c r="AA608" s="16" t="s">
        <v>85</v>
      </c>
      <c r="AB608" s="16" t="s">
        <v>85</v>
      </c>
      <c r="AC608" s="16" t="s">
        <v>85</v>
      </c>
      <c r="AD608" s="16" t="s">
        <v>85</v>
      </c>
      <c r="AE608" s="16" t="s">
        <v>233</v>
      </c>
      <c r="AF608" s="16" t="s">
        <v>89</v>
      </c>
      <c r="AG608" s="16" t="s">
        <v>114</v>
      </c>
      <c r="AH608" s="16" t="s">
        <v>85</v>
      </c>
      <c r="AI608" s="16">
        <v>6.5</v>
      </c>
      <c r="AJ608" s="16" t="s">
        <v>85</v>
      </c>
      <c r="AK608" s="16" t="s">
        <v>85</v>
      </c>
      <c r="AL608" s="16" t="s">
        <v>85</v>
      </c>
      <c r="AM608" s="16" t="s">
        <v>85</v>
      </c>
      <c r="AN608" s="16" t="s">
        <v>85</v>
      </c>
      <c r="AO608" s="16" t="s">
        <v>85</v>
      </c>
      <c r="AP608" s="16" t="s">
        <v>85</v>
      </c>
      <c r="AQ608" s="16" t="s">
        <v>85</v>
      </c>
      <c r="AR608" s="16" t="s">
        <v>85</v>
      </c>
      <c r="AS608" s="16" t="s">
        <v>85</v>
      </c>
      <c r="AT608" s="16" t="s">
        <v>85</v>
      </c>
      <c r="AU608" s="16" t="s">
        <v>85</v>
      </c>
      <c r="AV608" s="16" t="s">
        <v>85</v>
      </c>
      <c r="AW608" s="16" t="s">
        <v>85</v>
      </c>
      <c r="AX608" s="16" t="s">
        <v>85</v>
      </c>
      <c r="AY608" s="16" t="s">
        <v>85</v>
      </c>
      <c r="AZ608" s="16" t="s">
        <v>85</v>
      </c>
      <c r="BA608" s="16" t="s">
        <v>85</v>
      </c>
      <c r="BB608" s="16" t="s">
        <v>85</v>
      </c>
      <c r="BC608" s="16" t="s">
        <v>85</v>
      </c>
      <c r="BD608" s="16" t="s">
        <v>85</v>
      </c>
      <c r="BE608" s="16" t="s">
        <v>85</v>
      </c>
      <c r="BF608" s="16" t="s">
        <v>85</v>
      </c>
      <c r="BG608" s="16" t="s">
        <v>85</v>
      </c>
      <c r="BH608" s="16" t="s">
        <v>85</v>
      </c>
      <c r="BI608" s="16" t="s">
        <v>85</v>
      </c>
      <c r="BJ608" s="16" t="s">
        <v>85</v>
      </c>
      <c r="BK608" s="10"/>
    </row>
    <row r="609">
      <c r="A609" s="21"/>
      <c r="B609" s="21"/>
      <c r="C609" s="21"/>
      <c r="D609" s="21"/>
      <c r="E609" s="18">
        <v>4.0</v>
      </c>
      <c r="F609" s="19">
        <v>62.0</v>
      </c>
      <c r="G609" s="21"/>
      <c r="H609" s="21"/>
      <c r="I609" s="21"/>
      <c r="J609" s="21"/>
      <c r="K609" s="21"/>
      <c r="L609" s="21"/>
      <c r="M609" s="21"/>
      <c r="N609" s="21"/>
      <c r="O609" s="21"/>
      <c r="P609" s="21"/>
      <c r="Q609" s="19">
        <v>88.0</v>
      </c>
      <c r="R609" s="21"/>
      <c r="S609" s="21"/>
      <c r="T609" s="18">
        <v>135.0</v>
      </c>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c r="BE609" s="21"/>
      <c r="BF609" s="21"/>
      <c r="BG609" s="21"/>
      <c r="BH609" s="21"/>
      <c r="BI609" s="21"/>
      <c r="BJ609" s="21"/>
      <c r="BK609" s="10"/>
    </row>
    <row r="610">
      <c r="A610" s="21"/>
      <c r="B610" s="21"/>
      <c r="C610" s="21"/>
      <c r="D610" s="21"/>
      <c r="E610" s="18">
        <v>5.0</v>
      </c>
      <c r="F610" s="19">
        <v>68.0</v>
      </c>
      <c r="G610" s="21"/>
      <c r="H610" s="21"/>
      <c r="I610" s="21"/>
      <c r="J610" s="21"/>
      <c r="K610" s="21"/>
      <c r="L610" s="21"/>
      <c r="M610" s="21"/>
      <c r="N610" s="21"/>
      <c r="O610" s="21"/>
      <c r="P610" s="21"/>
      <c r="Q610" s="19">
        <v>97.0</v>
      </c>
      <c r="R610" s="21"/>
      <c r="S610" s="21"/>
      <c r="T610" s="18">
        <v>148.0</v>
      </c>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c r="BE610" s="21"/>
      <c r="BF610" s="21"/>
      <c r="BG610" s="21"/>
      <c r="BH610" s="21"/>
      <c r="BI610" s="21"/>
      <c r="BJ610" s="21"/>
      <c r="BK610" s="10"/>
    </row>
    <row r="611">
      <c r="A611" s="21"/>
      <c r="B611" s="21"/>
      <c r="C611" s="21"/>
      <c r="D611" s="21"/>
      <c r="E611" s="18">
        <v>6.0</v>
      </c>
      <c r="F611" s="19">
        <v>75.0</v>
      </c>
      <c r="G611" s="21"/>
      <c r="H611" s="21"/>
      <c r="I611" s="21"/>
      <c r="J611" s="21"/>
      <c r="K611" s="21"/>
      <c r="L611" s="21"/>
      <c r="M611" s="21"/>
      <c r="N611" s="21"/>
      <c r="O611" s="21"/>
      <c r="P611" s="21"/>
      <c r="Q611" s="19">
        <v>107.0</v>
      </c>
      <c r="R611" s="21"/>
      <c r="S611" s="21"/>
      <c r="T611" s="18">
        <v>163.0</v>
      </c>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c r="BE611" s="21"/>
      <c r="BF611" s="21"/>
      <c r="BG611" s="21"/>
      <c r="BH611" s="21"/>
      <c r="BI611" s="21"/>
      <c r="BJ611" s="21"/>
      <c r="BK611" s="10"/>
    </row>
    <row r="612">
      <c r="A612" s="21"/>
      <c r="B612" s="21"/>
      <c r="C612" s="21"/>
      <c r="D612" s="21"/>
      <c r="E612" s="18">
        <v>7.0</v>
      </c>
      <c r="F612" s="19">
        <v>83.0</v>
      </c>
      <c r="G612" s="21"/>
      <c r="H612" s="21"/>
      <c r="I612" s="21"/>
      <c r="J612" s="21"/>
      <c r="K612" s="21"/>
      <c r="L612" s="21"/>
      <c r="M612" s="21"/>
      <c r="N612" s="21"/>
      <c r="O612" s="21"/>
      <c r="P612" s="21"/>
      <c r="Q612" s="19">
        <v>118.0</v>
      </c>
      <c r="R612" s="21"/>
      <c r="S612" s="21"/>
      <c r="T612" s="18">
        <v>179.0</v>
      </c>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c r="BE612" s="21"/>
      <c r="BF612" s="21"/>
      <c r="BG612" s="21"/>
      <c r="BH612" s="21"/>
      <c r="BI612" s="21"/>
      <c r="BJ612" s="21"/>
      <c r="BK612" s="10"/>
    </row>
    <row r="613">
      <c r="A613" s="21"/>
      <c r="B613" s="21"/>
      <c r="C613" s="21"/>
      <c r="D613" s="21"/>
      <c r="E613" s="18">
        <v>8.0</v>
      </c>
      <c r="F613" s="19">
        <v>91.0</v>
      </c>
      <c r="G613" s="21"/>
      <c r="H613" s="21"/>
      <c r="I613" s="21"/>
      <c r="J613" s="21"/>
      <c r="K613" s="21"/>
      <c r="L613" s="21"/>
      <c r="M613" s="21"/>
      <c r="N613" s="21"/>
      <c r="O613" s="21"/>
      <c r="P613" s="21"/>
      <c r="Q613" s="19">
        <v>130.0</v>
      </c>
      <c r="R613" s="21"/>
      <c r="S613" s="21"/>
      <c r="T613" s="18">
        <v>196.0</v>
      </c>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c r="BA613" s="21"/>
      <c r="BB613" s="21"/>
      <c r="BC613" s="21"/>
      <c r="BD613" s="21"/>
      <c r="BE613" s="21"/>
      <c r="BF613" s="21"/>
      <c r="BG613" s="21"/>
      <c r="BH613" s="21"/>
      <c r="BI613" s="21"/>
      <c r="BJ613" s="21"/>
      <c r="BK613" s="10"/>
    </row>
    <row r="614">
      <c r="A614" s="21"/>
      <c r="B614" s="21"/>
      <c r="C614" s="21"/>
      <c r="D614" s="21"/>
      <c r="E614" s="18">
        <v>9.0</v>
      </c>
      <c r="F614" s="19">
        <v>100.0</v>
      </c>
      <c r="G614" s="21"/>
      <c r="H614" s="21"/>
      <c r="I614" s="21"/>
      <c r="J614" s="21"/>
      <c r="K614" s="21"/>
      <c r="L614" s="21"/>
      <c r="M614" s="21"/>
      <c r="N614" s="21"/>
      <c r="O614" s="21"/>
      <c r="P614" s="21"/>
      <c r="Q614" s="19">
        <v>142.0</v>
      </c>
      <c r="R614" s="21"/>
      <c r="S614" s="21"/>
      <c r="T614" s="18">
        <v>216.0</v>
      </c>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c r="BA614" s="21"/>
      <c r="BB614" s="21"/>
      <c r="BC614" s="21"/>
      <c r="BD614" s="21"/>
      <c r="BE614" s="21"/>
      <c r="BF614" s="21"/>
      <c r="BG614" s="21"/>
      <c r="BH614" s="21"/>
      <c r="BI614" s="21"/>
      <c r="BJ614" s="21"/>
      <c r="BK614" s="10"/>
    </row>
    <row r="615">
      <c r="A615" s="21"/>
      <c r="B615" s="21"/>
      <c r="C615" s="21"/>
      <c r="D615" s="21"/>
      <c r="E615" s="18">
        <v>10.0</v>
      </c>
      <c r="F615" s="19">
        <v>110.0</v>
      </c>
      <c r="G615" s="21"/>
      <c r="H615" s="21"/>
      <c r="I615" s="21"/>
      <c r="J615" s="21"/>
      <c r="K615" s="21"/>
      <c r="L615" s="21"/>
      <c r="M615" s="21"/>
      <c r="N615" s="21"/>
      <c r="O615" s="21"/>
      <c r="P615" s="21"/>
      <c r="Q615" s="19">
        <v>157.0</v>
      </c>
      <c r="R615" s="21"/>
      <c r="S615" s="21"/>
      <c r="T615" s="18">
        <v>237.0</v>
      </c>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c r="BA615" s="21"/>
      <c r="BB615" s="21"/>
      <c r="BC615" s="21"/>
      <c r="BD615" s="21"/>
      <c r="BE615" s="21"/>
      <c r="BF615" s="21"/>
      <c r="BG615" s="21"/>
      <c r="BH615" s="21"/>
      <c r="BI615" s="21"/>
      <c r="BJ615" s="21"/>
      <c r="BK615" s="10"/>
    </row>
    <row r="616">
      <c r="A616" s="21"/>
      <c r="B616" s="21"/>
      <c r="C616" s="21"/>
      <c r="D616" s="21"/>
      <c r="E616" s="18">
        <v>11.0</v>
      </c>
      <c r="F616" s="19">
        <v>120.0</v>
      </c>
      <c r="G616" s="21"/>
      <c r="H616" s="21"/>
      <c r="I616" s="21"/>
      <c r="J616" s="21"/>
      <c r="K616" s="21"/>
      <c r="L616" s="21"/>
      <c r="M616" s="21"/>
      <c r="N616" s="21"/>
      <c r="O616" s="21"/>
      <c r="P616" s="21"/>
      <c r="Q616" s="19">
        <v>171.0</v>
      </c>
      <c r="R616" s="21"/>
      <c r="S616" s="21"/>
      <c r="T616" s="18">
        <v>260.0</v>
      </c>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c r="BA616" s="21"/>
      <c r="BB616" s="21"/>
      <c r="BC616" s="21"/>
      <c r="BD616" s="21"/>
      <c r="BE616" s="21"/>
      <c r="BF616" s="21"/>
      <c r="BG616" s="21"/>
      <c r="BH616" s="21"/>
      <c r="BI616" s="21"/>
      <c r="BJ616" s="21"/>
      <c r="BK616" s="10"/>
    </row>
    <row r="617">
      <c r="A617" s="21"/>
      <c r="B617" s="21"/>
      <c r="C617" s="21"/>
      <c r="D617" s="21"/>
      <c r="E617" s="18">
        <v>12.0</v>
      </c>
      <c r="F617" s="19">
        <v>132.0</v>
      </c>
      <c r="G617" s="21"/>
      <c r="H617" s="21"/>
      <c r="I617" s="21"/>
      <c r="J617" s="21"/>
      <c r="K617" s="21"/>
      <c r="L617" s="21"/>
      <c r="M617" s="21"/>
      <c r="N617" s="21"/>
      <c r="O617" s="21"/>
      <c r="P617" s="21"/>
      <c r="Q617" s="19">
        <v>188.0</v>
      </c>
      <c r="R617" s="21"/>
      <c r="S617" s="21"/>
      <c r="T617" s="18">
        <v>286.0</v>
      </c>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c r="BA617" s="21"/>
      <c r="BB617" s="21"/>
      <c r="BC617" s="21"/>
      <c r="BD617" s="21"/>
      <c r="BE617" s="21"/>
      <c r="BF617" s="21"/>
      <c r="BG617" s="21"/>
      <c r="BH617" s="21"/>
      <c r="BI617" s="21"/>
      <c r="BJ617" s="21"/>
      <c r="BK617" s="10"/>
    </row>
    <row r="618">
      <c r="A618" s="22"/>
      <c r="B618" s="22"/>
      <c r="C618" s="22"/>
      <c r="D618" s="22"/>
      <c r="E618" s="18">
        <v>13.0</v>
      </c>
      <c r="F618" s="19">
        <v>145.0</v>
      </c>
      <c r="G618" s="22"/>
      <c r="H618" s="22"/>
      <c r="I618" s="22"/>
      <c r="J618" s="22"/>
      <c r="K618" s="22"/>
      <c r="L618" s="22"/>
      <c r="M618" s="22"/>
      <c r="N618" s="22"/>
      <c r="O618" s="22"/>
      <c r="P618" s="22"/>
      <c r="Q618" s="19">
        <v>207.0</v>
      </c>
      <c r="R618" s="22"/>
      <c r="S618" s="22"/>
      <c r="T618" s="18">
        <v>314.0</v>
      </c>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10"/>
    </row>
    <row r="619">
      <c r="A619" s="16" t="s">
        <v>234</v>
      </c>
      <c r="B619" s="39" t="s">
        <v>131</v>
      </c>
      <c r="C619" s="16" t="s">
        <v>84</v>
      </c>
      <c r="D619" s="16">
        <v>4.0</v>
      </c>
      <c r="E619" s="32">
        <v>6.0</v>
      </c>
      <c r="F619" s="16" t="s">
        <v>85</v>
      </c>
      <c r="G619" s="16" t="s">
        <v>85</v>
      </c>
      <c r="H619" s="16" t="s">
        <v>85</v>
      </c>
      <c r="I619" s="16" t="s">
        <v>85</v>
      </c>
      <c r="J619" s="16" t="s">
        <v>85</v>
      </c>
      <c r="K619" s="16" t="s">
        <v>85</v>
      </c>
      <c r="L619" s="16" t="s">
        <v>85</v>
      </c>
      <c r="M619" s="16" t="s">
        <v>85</v>
      </c>
      <c r="N619" s="16" t="s">
        <v>85</v>
      </c>
      <c r="O619" s="16" t="s">
        <v>85</v>
      </c>
      <c r="P619" s="16" t="s">
        <v>85</v>
      </c>
      <c r="Q619" s="18">
        <v>57.0</v>
      </c>
      <c r="R619" s="16" t="s">
        <v>85</v>
      </c>
      <c r="S619" s="18">
        <v>18.0</v>
      </c>
      <c r="T619" s="16" t="s">
        <v>85</v>
      </c>
      <c r="U619" s="16" t="s">
        <v>85</v>
      </c>
      <c r="V619" s="16" t="s">
        <v>85</v>
      </c>
      <c r="W619" s="16" t="s">
        <v>85</v>
      </c>
      <c r="X619" s="16" t="s">
        <v>85</v>
      </c>
      <c r="Y619" s="16" t="s">
        <v>85</v>
      </c>
      <c r="Z619" s="16" t="s">
        <v>85</v>
      </c>
      <c r="AA619" s="16" t="s">
        <v>85</v>
      </c>
      <c r="AB619" s="16" t="s">
        <v>85</v>
      </c>
      <c r="AC619" s="16" t="s">
        <v>85</v>
      </c>
      <c r="AD619" s="16" t="s">
        <v>85</v>
      </c>
      <c r="AE619" s="16" t="s">
        <v>85</v>
      </c>
      <c r="AF619" s="16" t="s">
        <v>85</v>
      </c>
      <c r="AG619" s="16" t="s">
        <v>85</v>
      </c>
      <c r="AH619" s="16" t="s">
        <v>85</v>
      </c>
      <c r="AI619" s="16" t="s">
        <v>85</v>
      </c>
      <c r="AJ619" s="16" t="s">
        <v>85</v>
      </c>
      <c r="AK619" s="16" t="s">
        <v>85</v>
      </c>
      <c r="AL619" s="16" t="s">
        <v>85</v>
      </c>
      <c r="AM619" s="16" t="s">
        <v>85</v>
      </c>
      <c r="AN619" s="16" t="s">
        <v>85</v>
      </c>
      <c r="AO619" s="16" t="s">
        <v>85</v>
      </c>
      <c r="AP619" s="16" t="s">
        <v>85</v>
      </c>
      <c r="AQ619" s="16" t="s">
        <v>85</v>
      </c>
      <c r="AR619" s="16" t="s">
        <v>235</v>
      </c>
      <c r="AS619" s="16" t="s">
        <v>85</v>
      </c>
      <c r="AT619" s="16" t="s">
        <v>85</v>
      </c>
      <c r="AU619" s="16" t="s">
        <v>85</v>
      </c>
      <c r="AV619" s="16" t="s">
        <v>85</v>
      </c>
      <c r="AW619" s="16" t="s">
        <v>85</v>
      </c>
      <c r="AX619" s="16" t="s">
        <v>85</v>
      </c>
      <c r="AY619" s="16" t="s">
        <v>85</v>
      </c>
      <c r="AZ619" s="16" t="s">
        <v>85</v>
      </c>
      <c r="BA619" s="16" t="s">
        <v>85</v>
      </c>
      <c r="BB619" s="16" t="s">
        <v>85</v>
      </c>
      <c r="BC619" s="16" t="s">
        <v>85</v>
      </c>
      <c r="BD619" s="16" t="s">
        <v>85</v>
      </c>
      <c r="BE619" s="16" t="s">
        <v>85</v>
      </c>
      <c r="BF619" s="16" t="s">
        <v>85</v>
      </c>
      <c r="BG619" s="16" t="s">
        <v>85</v>
      </c>
      <c r="BH619" s="16" t="s">
        <v>85</v>
      </c>
      <c r="BI619" s="16" t="s">
        <v>85</v>
      </c>
      <c r="BJ619" s="16">
        <v>3.5</v>
      </c>
      <c r="BK619" s="10"/>
    </row>
    <row r="620">
      <c r="A620" s="21"/>
      <c r="B620" s="21"/>
      <c r="C620" s="21"/>
      <c r="D620" s="21"/>
      <c r="E620" s="32">
        <v>7.0</v>
      </c>
      <c r="F620" s="21"/>
      <c r="G620" s="21"/>
      <c r="H620" s="21"/>
      <c r="I620" s="21"/>
      <c r="J620" s="21"/>
      <c r="K620" s="21"/>
      <c r="L620" s="21"/>
      <c r="M620" s="21"/>
      <c r="N620" s="21"/>
      <c r="O620" s="21"/>
      <c r="P620" s="21"/>
      <c r="Q620" s="18">
        <v>62.0</v>
      </c>
      <c r="R620" s="21"/>
      <c r="S620" s="18">
        <v>19.0</v>
      </c>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c r="BA620" s="21"/>
      <c r="BB620" s="21"/>
      <c r="BC620" s="21"/>
      <c r="BD620" s="21"/>
      <c r="BE620" s="21"/>
      <c r="BF620" s="21"/>
      <c r="BG620" s="21"/>
      <c r="BH620" s="21"/>
      <c r="BI620" s="21"/>
      <c r="BJ620" s="21"/>
      <c r="BK620" s="10"/>
    </row>
    <row r="621">
      <c r="A621" s="21"/>
      <c r="B621" s="21"/>
      <c r="C621" s="21"/>
      <c r="D621" s="21"/>
      <c r="E621" s="32">
        <v>8.0</v>
      </c>
      <c r="F621" s="21"/>
      <c r="G621" s="21"/>
      <c r="H621" s="21"/>
      <c r="I621" s="21"/>
      <c r="J621" s="21"/>
      <c r="K621" s="21"/>
      <c r="L621" s="21"/>
      <c r="M621" s="21"/>
      <c r="N621" s="21"/>
      <c r="O621" s="21"/>
      <c r="P621" s="21"/>
      <c r="Q621" s="18">
        <v>68.0</v>
      </c>
      <c r="R621" s="21"/>
      <c r="S621" s="18">
        <v>21.0</v>
      </c>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c r="BA621" s="21"/>
      <c r="BB621" s="21"/>
      <c r="BC621" s="21"/>
      <c r="BD621" s="21"/>
      <c r="BE621" s="21"/>
      <c r="BF621" s="21"/>
      <c r="BG621" s="21"/>
      <c r="BH621" s="21"/>
      <c r="BI621" s="21"/>
      <c r="BJ621" s="21"/>
      <c r="BK621" s="10"/>
    </row>
    <row r="622">
      <c r="A622" s="21"/>
      <c r="B622" s="21"/>
      <c r="C622" s="21"/>
      <c r="D622" s="21"/>
      <c r="E622" s="32">
        <v>9.0</v>
      </c>
      <c r="F622" s="21"/>
      <c r="G622" s="21"/>
      <c r="H622" s="21"/>
      <c r="I622" s="21"/>
      <c r="J622" s="21"/>
      <c r="K622" s="21"/>
      <c r="L622" s="21"/>
      <c r="M622" s="21"/>
      <c r="N622" s="21"/>
      <c r="O622" s="21"/>
      <c r="P622" s="21"/>
      <c r="Q622" s="18">
        <v>75.0</v>
      </c>
      <c r="R622" s="21"/>
      <c r="S622" s="18">
        <v>23.0</v>
      </c>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c r="BA622" s="21"/>
      <c r="BB622" s="21"/>
      <c r="BC622" s="21"/>
      <c r="BD622" s="21"/>
      <c r="BE622" s="21"/>
      <c r="BF622" s="21"/>
      <c r="BG622" s="21"/>
      <c r="BH622" s="21"/>
      <c r="BI622" s="21"/>
      <c r="BJ622" s="21"/>
      <c r="BK622" s="10"/>
    </row>
    <row r="623">
      <c r="A623" s="21"/>
      <c r="B623" s="21"/>
      <c r="C623" s="21"/>
      <c r="D623" s="21"/>
      <c r="E623" s="32">
        <v>10.0</v>
      </c>
      <c r="F623" s="21"/>
      <c r="G623" s="21"/>
      <c r="H623" s="21"/>
      <c r="I623" s="21"/>
      <c r="J623" s="21"/>
      <c r="K623" s="21"/>
      <c r="L623" s="21"/>
      <c r="M623" s="21"/>
      <c r="N623" s="21"/>
      <c r="O623" s="21"/>
      <c r="P623" s="21"/>
      <c r="Q623" s="18">
        <v>83.0</v>
      </c>
      <c r="R623" s="21"/>
      <c r="S623" s="18">
        <v>25.0</v>
      </c>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c r="BA623" s="21"/>
      <c r="BB623" s="21"/>
      <c r="BC623" s="21"/>
      <c r="BD623" s="21"/>
      <c r="BE623" s="21"/>
      <c r="BF623" s="21"/>
      <c r="BG623" s="21"/>
      <c r="BH623" s="21"/>
      <c r="BI623" s="21"/>
      <c r="BJ623" s="21"/>
      <c r="BK623" s="10"/>
    </row>
    <row r="624">
      <c r="A624" s="21"/>
      <c r="B624" s="21"/>
      <c r="C624" s="21"/>
      <c r="D624" s="21"/>
      <c r="E624" s="32">
        <v>11.0</v>
      </c>
      <c r="F624" s="21"/>
      <c r="G624" s="21"/>
      <c r="H624" s="21"/>
      <c r="I624" s="21"/>
      <c r="J624" s="21"/>
      <c r="K624" s="21"/>
      <c r="L624" s="21"/>
      <c r="M624" s="21"/>
      <c r="N624" s="21"/>
      <c r="O624" s="21"/>
      <c r="P624" s="21"/>
      <c r="Q624" s="18">
        <v>91.0</v>
      </c>
      <c r="R624" s="21"/>
      <c r="S624" s="18">
        <v>28.0</v>
      </c>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c r="BA624" s="21"/>
      <c r="BB624" s="21"/>
      <c r="BC624" s="21"/>
      <c r="BD624" s="21"/>
      <c r="BE624" s="21"/>
      <c r="BF624" s="21"/>
      <c r="BG624" s="21"/>
      <c r="BH624" s="21"/>
      <c r="BI624" s="21"/>
      <c r="BJ624" s="21"/>
      <c r="BK624" s="10"/>
    </row>
    <row r="625">
      <c r="A625" s="21"/>
      <c r="B625" s="21"/>
      <c r="C625" s="21"/>
      <c r="D625" s="21"/>
      <c r="E625" s="32">
        <v>12.0</v>
      </c>
      <c r="F625" s="21"/>
      <c r="G625" s="21"/>
      <c r="H625" s="21"/>
      <c r="I625" s="21"/>
      <c r="J625" s="21"/>
      <c r="K625" s="21"/>
      <c r="L625" s="21"/>
      <c r="M625" s="21"/>
      <c r="N625" s="21"/>
      <c r="O625" s="21"/>
      <c r="P625" s="21"/>
      <c r="Q625" s="18">
        <v>100.0</v>
      </c>
      <c r="R625" s="21"/>
      <c r="S625" s="18">
        <v>30.0</v>
      </c>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c r="BA625" s="21"/>
      <c r="BB625" s="21"/>
      <c r="BC625" s="21"/>
      <c r="BD625" s="21"/>
      <c r="BE625" s="21"/>
      <c r="BF625" s="21"/>
      <c r="BG625" s="21"/>
      <c r="BH625" s="21"/>
      <c r="BI625" s="21"/>
      <c r="BJ625" s="21"/>
      <c r="BK625" s="10"/>
    </row>
    <row r="626">
      <c r="A626" s="22"/>
      <c r="B626" s="22"/>
      <c r="C626" s="22"/>
      <c r="D626" s="22"/>
      <c r="E626" s="32">
        <v>13.0</v>
      </c>
      <c r="F626" s="22"/>
      <c r="G626" s="22"/>
      <c r="H626" s="22"/>
      <c r="I626" s="22"/>
      <c r="J626" s="22"/>
      <c r="K626" s="22"/>
      <c r="L626" s="22"/>
      <c r="M626" s="22"/>
      <c r="N626" s="22"/>
      <c r="O626" s="22"/>
      <c r="P626" s="22"/>
      <c r="Q626" s="18">
        <v>110.0</v>
      </c>
      <c r="R626" s="22"/>
      <c r="S626" s="18">
        <v>33.0</v>
      </c>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10"/>
    </row>
    <row r="627">
      <c r="A627" s="16" t="s">
        <v>236</v>
      </c>
      <c r="B627" s="30" t="s">
        <v>131</v>
      </c>
      <c r="C627" s="16" t="s">
        <v>87</v>
      </c>
      <c r="D627" s="16">
        <v>6.0</v>
      </c>
      <c r="E627" s="18">
        <v>6.0</v>
      </c>
      <c r="F627" s="18">
        <v>110.0</v>
      </c>
      <c r="G627" s="16" t="s">
        <v>85</v>
      </c>
      <c r="H627" s="16" t="s">
        <v>85</v>
      </c>
      <c r="I627" s="16" t="s">
        <v>85</v>
      </c>
      <c r="J627" s="16" t="s">
        <v>85</v>
      </c>
      <c r="K627" s="16" t="s">
        <v>85</v>
      </c>
      <c r="L627" s="16" t="s">
        <v>85</v>
      </c>
      <c r="M627" s="16" t="s">
        <v>85</v>
      </c>
      <c r="N627" s="16" t="s">
        <v>85</v>
      </c>
      <c r="O627" s="16" t="s">
        <v>85</v>
      </c>
      <c r="P627" s="16" t="s">
        <v>85</v>
      </c>
      <c r="Q627" s="19">
        <v>73.0</v>
      </c>
      <c r="R627" s="16" t="s">
        <v>85</v>
      </c>
      <c r="S627" s="16" t="s">
        <v>85</v>
      </c>
      <c r="T627" s="19">
        <v>1967.0</v>
      </c>
      <c r="U627" s="16" t="s">
        <v>85</v>
      </c>
      <c r="V627" s="16" t="s">
        <v>85</v>
      </c>
      <c r="W627" s="16" t="s">
        <v>237</v>
      </c>
      <c r="X627" s="18">
        <v>6.0</v>
      </c>
      <c r="Y627" s="16" t="s">
        <v>85</v>
      </c>
      <c r="Z627" s="16" t="s">
        <v>85</v>
      </c>
      <c r="AA627" s="16" t="s">
        <v>85</v>
      </c>
      <c r="AB627" s="16" t="s">
        <v>85</v>
      </c>
      <c r="AC627" s="16" t="s">
        <v>85</v>
      </c>
      <c r="AD627" s="16" t="s">
        <v>85</v>
      </c>
      <c r="AE627" s="16" t="s">
        <v>108</v>
      </c>
      <c r="AF627" s="16" t="s">
        <v>109</v>
      </c>
      <c r="AG627" s="16" t="s">
        <v>95</v>
      </c>
      <c r="AH627" s="16" t="s">
        <v>85</v>
      </c>
      <c r="AI627" s="16" t="s">
        <v>99</v>
      </c>
      <c r="AJ627" s="16" t="s">
        <v>85</v>
      </c>
      <c r="AK627" s="16" t="s">
        <v>85</v>
      </c>
      <c r="AL627" s="16" t="s">
        <v>85</v>
      </c>
      <c r="AM627" s="16" t="s">
        <v>85</v>
      </c>
      <c r="AN627" s="16" t="s">
        <v>96</v>
      </c>
      <c r="AO627" s="16" t="s">
        <v>85</v>
      </c>
      <c r="AP627" s="16" t="s">
        <v>85</v>
      </c>
      <c r="AQ627" s="16" t="s">
        <v>85</v>
      </c>
      <c r="AR627" s="16" t="s">
        <v>85</v>
      </c>
      <c r="AS627" s="16" t="s">
        <v>85</v>
      </c>
      <c r="AT627" s="16" t="s">
        <v>85</v>
      </c>
      <c r="AU627" s="16" t="s">
        <v>85</v>
      </c>
      <c r="AV627" s="16" t="s">
        <v>85</v>
      </c>
      <c r="AW627" s="16" t="s">
        <v>85</v>
      </c>
      <c r="AX627" s="16" t="s">
        <v>85</v>
      </c>
      <c r="AY627" s="16" t="s">
        <v>85</v>
      </c>
      <c r="AZ627" s="16" t="s">
        <v>85</v>
      </c>
      <c r="BA627" s="16" t="s">
        <v>85</v>
      </c>
      <c r="BB627" s="16" t="s">
        <v>85</v>
      </c>
      <c r="BC627" s="16" t="s">
        <v>85</v>
      </c>
      <c r="BD627" s="16" t="s">
        <v>85</v>
      </c>
      <c r="BE627" s="16" t="s">
        <v>85</v>
      </c>
      <c r="BF627" s="16" t="s">
        <v>85</v>
      </c>
      <c r="BG627" s="16" t="s">
        <v>85</v>
      </c>
      <c r="BH627" s="16" t="s">
        <v>85</v>
      </c>
      <c r="BI627" s="16" t="s">
        <v>85</v>
      </c>
      <c r="BJ627" s="16" t="s">
        <v>85</v>
      </c>
      <c r="BK627" s="10"/>
    </row>
    <row r="628">
      <c r="A628" s="21"/>
      <c r="B628" s="21"/>
      <c r="C628" s="21"/>
      <c r="D628" s="21"/>
      <c r="E628" s="18">
        <v>7.0</v>
      </c>
      <c r="F628" s="19">
        <v>121.0</v>
      </c>
      <c r="G628" s="21"/>
      <c r="H628" s="21"/>
      <c r="I628" s="21"/>
      <c r="J628" s="21"/>
      <c r="K628" s="21"/>
      <c r="L628" s="21"/>
      <c r="M628" s="21"/>
      <c r="N628" s="21"/>
      <c r="O628" s="21"/>
      <c r="P628" s="21"/>
      <c r="Q628" s="19">
        <v>80.0</v>
      </c>
      <c r="R628" s="21"/>
      <c r="S628" s="21"/>
      <c r="T628" s="19">
        <v>2163.0</v>
      </c>
      <c r="U628" s="21"/>
      <c r="V628" s="21"/>
      <c r="W628" s="21"/>
      <c r="X628" s="18">
        <v>7.0</v>
      </c>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c r="BA628" s="21"/>
      <c r="BB628" s="21"/>
      <c r="BC628" s="21"/>
      <c r="BD628" s="21"/>
      <c r="BE628" s="21"/>
      <c r="BF628" s="21"/>
      <c r="BG628" s="21"/>
      <c r="BH628" s="21"/>
      <c r="BI628" s="21"/>
      <c r="BJ628" s="21"/>
      <c r="BK628" s="10"/>
    </row>
    <row r="629">
      <c r="A629" s="21"/>
      <c r="B629" s="21"/>
      <c r="C629" s="21"/>
      <c r="D629" s="21"/>
      <c r="E629" s="18">
        <v>8.0</v>
      </c>
      <c r="F629" s="19">
        <v>133.0</v>
      </c>
      <c r="G629" s="21"/>
      <c r="H629" s="21"/>
      <c r="I629" s="21"/>
      <c r="J629" s="21"/>
      <c r="K629" s="21"/>
      <c r="L629" s="21"/>
      <c r="M629" s="21"/>
      <c r="N629" s="21"/>
      <c r="O629" s="21"/>
      <c r="P629" s="21"/>
      <c r="Q629" s="19">
        <v>88.0</v>
      </c>
      <c r="R629" s="21"/>
      <c r="S629" s="21"/>
      <c r="T629" s="19">
        <v>2380.0</v>
      </c>
      <c r="U629" s="21"/>
      <c r="V629" s="21"/>
      <c r="W629" s="21"/>
      <c r="X629" s="18">
        <v>8.0</v>
      </c>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c r="BA629" s="21"/>
      <c r="BB629" s="21"/>
      <c r="BC629" s="21"/>
      <c r="BD629" s="21"/>
      <c r="BE629" s="21"/>
      <c r="BF629" s="21"/>
      <c r="BG629" s="21"/>
      <c r="BH629" s="21"/>
      <c r="BI629" s="21"/>
      <c r="BJ629" s="21"/>
      <c r="BK629" s="10"/>
    </row>
    <row r="630">
      <c r="A630" s="21"/>
      <c r="B630" s="21"/>
      <c r="C630" s="21"/>
      <c r="D630" s="21"/>
      <c r="E630" s="18">
        <v>9.0</v>
      </c>
      <c r="F630" s="19">
        <v>146.0</v>
      </c>
      <c r="G630" s="21"/>
      <c r="H630" s="21"/>
      <c r="I630" s="21"/>
      <c r="J630" s="21"/>
      <c r="K630" s="21"/>
      <c r="L630" s="21"/>
      <c r="M630" s="21"/>
      <c r="N630" s="21"/>
      <c r="O630" s="21"/>
      <c r="P630" s="21"/>
      <c r="Q630" s="19">
        <v>97.0</v>
      </c>
      <c r="R630" s="21"/>
      <c r="S630" s="21"/>
      <c r="T630" s="19">
        <v>2616.0</v>
      </c>
      <c r="U630" s="21"/>
      <c r="V630" s="21"/>
      <c r="W630" s="21"/>
      <c r="X630" s="18">
        <v>9.0</v>
      </c>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c r="BA630" s="21"/>
      <c r="BB630" s="21"/>
      <c r="BC630" s="21"/>
      <c r="BD630" s="21"/>
      <c r="BE630" s="21"/>
      <c r="BF630" s="21"/>
      <c r="BG630" s="21"/>
      <c r="BH630" s="21"/>
      <c r="BI630" s="21"/>
      <c r="BJ630" s="21"/>
      <c r="BK630" s="10"/>
    </row>
    <row r="631">
      <c r="A631" s="21"/>
      <c r="B631" s="21"/>
      <c r="C631" s="21"/>
      <c r="D631" s="21"/>
      <c r="E631" s="18">
        <v>10.0</v>
      </c>
      <c r="F631" s="19">
        <v>160.0</v>
      </c>
      <c r="G631" s="21"/>
      <c r="H631" s="21"/>
      <c r="I631" s="21"/>
      <c r="J631" s="21"/>
      <c r="K631" s="21"/>
      <c r="L631" s="21"/>
      <c r="M631" s="21"/>
      <c r="N631" s="21"/>
      <c r="O631" s="21"/>
      <c r="P631" s="21"/>
      <c r="Q631" s="19">
        <v>106.0</v>
      </c>
      <c r="R631" s="21"/>
      <c r="S631" s="21"/>
      <c r="T631" s="19">
        <v>2871.0</v>
      </c>
      <c r="U631" s="21"/>
      <c r="V631" s="21"/>
      <c r="W631" s="21"/>
      <c r="X631" s="18">
        <v>10.0</v>
      </c>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c r="BA631" s="21"/>
      <c r="BB631" s="21"/>
      <c r="BC631" s="21"/>
      <c r="BD631" s="21"/>
      <c r="BE631" s="21"/>
      <c r="BF631" s="21"/>
      <c r="BG631" s="21"/>
      <c r="BH631" s="21"/>
      <c r="BI631" s="21"/>
      <c r="BJ631" s="21"/>
      <c r="BK631" s="10"/>
    </row>
    <row r="632">
      <c r="A632" s="21"/>
      <c r="B632" s="21"/>
      <c r="C632" s="21"/>
      <c r="D632" s="21"/>
      <c r="E632" s="18">
        <v>11.0</v>
      </c>
      <c r="F632" s="19">
        <v>176.0</v>
      </c>
      <c r="G632" s="21"/>
      <c r="H632" s="21"/>
      <c r="I632" s="21"/>
      <c r="J632" s="21"/>
      <c r="K632" s="21"/>
      <c r="L632" s="21"/>
      <c r="M632" s="21"/>
      <c r="N632" s="21"/>
      <c r="O632" s="21"/>
      <c r="P632" s="21"/>
      <c r="Q632" s="19">
        <v>117.0</v>
      </c>
      <c r="R632" s="21"/>
      <c r="S632" s="21"/>
      <c r="T632" s="19">
        <v>3147.0</v>
      </c>
      <c r="U632" s="21"/>
      <c r="V632" s="21"/>
      <c r="W632" s="21"/>
      <c r="X632" s="18">
        <v>11.0</v>
      </c>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c r="BA632" s="21"/>
      <c r="BB632" s="21"/>
      <c r="BC632" s="21"/>
      <c r="BD632" s="21"/>
      <c r="BE632" s="21"/>
      <c r="BF632" s="21"/>
      <c r="BG632" s="21"/>
      <c r="BH632" s="21"/>
      <c r="BI632" s="21"/>
      <c r="BJ632" s="21"/>
      <c r="BK632" s="10"/>
    </row>
    <row r="633">
      <c r="A633" s="21"/>
      <c r="B633" s="21"/>
      <c r="C633" s="21"/>
      <c r="D633" s="21"/>
      <c r="E633" s="18">
        <v>12.0</v>
      </c>
      <c r="F633" s="19">
        <v>193.0</v>
      </c>
      <c r="G633" s="21"/>
      <c r="H633" s="21"/>
      <c r="I633" s="21"/>
      <c r="J633" s="21"/>
      <c r="K633" s="21"/>
      <c r="L633" s="21"/>
      <c r="M633" s="21"/>
      <c r="N633" s="21"/>
      <c r="O633" s="21"/>
      <c r="P633" s="21"/>
      <c r="Q633" s="19">
        <v>128.0</v>
      </c>
      <c r="R633" s="21"/>
      <c r="S633" s="21"/>
      <c r="T633" s="19">
        <v>3461.0</v>
      </c>
      <c r="U633" s="21"/>
      <c r="V633" s="21"/>
      <c r="W633" s="21"/>
      <c r="X633" s="18">
        <v>12.0</v>
      </c>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c r="BA633" s="21"/>
      <c r="BB633" s="21"/>
      <c r="BC633" s="21"/>
      <c r="BD633" s="21"/>
      <c r="BE633" s="21"/>
      <c r="BF633" s="21"/>
      <c r="BG633" s="21"/>
      <c r="BH633" s="21"/>
      <c r="BI633" s="21"/>
      <c r="BJ633" s="21"/>
      <c r="BK633" s="10"/>
    </row>
    <row r="634">
      <c r="A634" s="22"/>
      <c r="B634" s="22"/>
      <c r="C634" s="22"/>
      <c r="D634" s="22"/>
      <c r="E634" s="18">
        <v>13.0</v>
      </c>
      <c r="F634" s="19">
        <v>212.0</v>
      </c>
      <c r="G634" s="22"/>
      <c r="H634" s="22"/>
      <c r="I634" s="22"/>
      <c r="J634" s="22"/>
      <c r="K634" s="22"/>
      <c r="L634" s="22"/>
      <c r="M634" s="22"/>
      <c r="N634" s="22"/>
      <c r="O634" s="22"/>
      <c r="P634" s="22"/>
      <c r="Q634" s="19">
        <v>141.0</v>
      </c>
      <c r="R634" s="22"/>
      <c r="S634" s="22"/>
      <c r="T634" s="19">
        <v>3796.0</v>
      </c>
      <c r="U634" s="22"/>
      <c r="V634" s="22"/>
      <c r="W634" s="22"/>
      <c r="X634" s="18">
        <v>13.0</v>
      </c>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10"/>
    </row>
    <row r="635">
      <c r="A635" s="16" t="s">
        <v>238</v>
      </c>
      <c r="B635" s="35" t="s">
        <v>181</v>
      </c>
      <c r="C635" s="16" t="s">
        <v>87</v>
      </c>
      <c r="D635" s="16">
        <v>4.0</v>
      </c>
      <c r="E635" s="18">
        <v>9.0</v>
      </c>
      <c r="F635" s="18" t="s">
        <v>239</v>
      </c>
      <c r="G635" s="16" t="s">
        <v>85</v>
      </c>
      <c r="H635" s="16" t="s">
        <v>85</v>
      </c>
      <c r="I635" s="16" t="s">
        <v>85</v>
      </c>
      <c r="J635" s="16" t="s">
        <v>85</v>
      </c>
      <c r="K635" s="16" t="s">
        <v>85</v>
      </c>
      <c r="L635" s="16" t="s">
        <v>85</v>
      </c>
      <c r="M635" s="16" t="s">
        <v>85</v>
      </c>
      <c r="N635" s="16" t="s">
        <v>85</v>
      </c>
      <c r="O635" s="16" t="s">
        <v>85</v>
      </c>
      <c r="P635" s="16" t="s">
        <v>85</v>
      </c>
      <c r="Q635" s="18" t="s">
        <v>240</v>
      </c>
      <c r="R635" s="16" t="s">
        <v>85</v>
      </c>
      <c r="S635" s="16" t="s">
        <v>85</v>
      </c>
      <c r="T635" s="18">
        <v>1070.0</v>
      </c>
      <c r="U635" s="16" t="s">
        <v>85</v>
      </c>
      <c r="V635" s="16" t="s">
        <v>85</v>
      </c>
      <c r="W635" s="16" t="s">
        <v>85</v>
      </c>
      <c r="X635" s="16" t="s">
        <v>85</v>
      </c>
      <c r="Y635" s="16" t="s">
        <v>85</v>
      </c>
      <c r="Z635" s="16" t="s">
        <v>85</v>
      </c>
      <c r="AA635" s="16" t="s">
        <v>85</v>
      </c>
      <c r="AB635" s="16" t="s">
        <v>85</v>
      </c>
      <c r="AC635" s="16" t="s">
        <v>85</v>
      </c>
      <c r="AD635" s="16" t="s">
        <v>85</v>
      </c>
      <c r="AE635" s="16" t="s">
        <v>156</v>
      </c>
      <c r="AF635" s="16" t="s">
        <v>89</v>
      </c>
      <c r="AG635" s="16" t="s">
        <v>95</v>
      </c>
      <c r="AH635" s="16" t="s">
        <v>85</v>
      </c>
      <c r="AI635" s="16">
        <v>3.5</v>
      </c>
      <c r="AJ635" s="16" t="s">
        <v>85</v>
      </c>
      <c r="AK635" s="16" t="s">
        <v>85</v>
      </c>
      <c r="AL635" s="16" t="s">
        <v>85</v>
      </c>
      <c r="AM635" s="16" t="s">
        <v>85</v>
      </c>
      <c r="AN635" s="16" t="s">
        <v>85</v>
      </c>
      <c r="AO635" s="16" t="s">
        <v>85</v>
      </c>
      <c r="AP635" s="16" t="s">
        <v>85</v>
      </c>
      <c r="AQ635" s="16" t="s">
        <v>85</v>
      </c>
      <c r="AR635" s="16" t="s">
        <v>85</v>
      </c>
      <c r="AS635" s="16" t="s">
        <v>85</v>
      </c>
      <c r="AT635" s="16" t="s">
        <v>85</v>
      </c>
      <c r="AU635" s="16" t="s">
        <v>85</v>
      </c>
      <c r="AV635" s="16" t="s">
        <v>85</v>
      </c>
      <c r="AW635" s="16" t="s">
        <v>85</v>
      </c>
      <c r="AX635" s="16" t="s">
        <v>85</v>
      </c>
      <c r="AY635" s="16" t="s">
        <v>85</v>
      </c>
      <c r="AZ635" s="16" t="s">
        <v>85</v>
      </c>
      <c r="BA635" s="16" t="s">
        <v>85</v>
      </c>
      <c r="BB635" s="16" t="s">
        <v>85</v>
      </c>
      <c r="BC635" s="16" t="s">
        <v>85</v>
      </c>
      <c r="BD635" s="16" t="s">
        <v>85</v>
      </c>
      <c r="BE635" s="16" t="s">
        <v>85</v>
      </c>
      <c r="BF635" s="16" t="s">
        <v>85</v>
      </c>
      <c r="BG635" s="16" t="s">
        <v>85</v>
      </c>
      <c r="BH635" s="40" t="s">
        <v>85</v>
      </c>
      <c r="BI635" s="40" t="s">
        <v>85</v>
      </c>
      <c r="BJ635" s="16" t="s">
        <v>85</v>
      </c>
      <c r="BK635" s="10"/>
    </row>
    <row r="636">
      <c r="A636" s="21"/>
      <c r="B636" s="21"/>
      <c r="C636" s="21"/>
      <c r="D636" s="21"/>
      <c r="E636" s="18">
        <v>10.0</v>
      </c>
      <c r="F636" s="18" t="s">
        <v>241</v>
      </c>
      <c r="G636" s="21"/>
      <c r="H636" s="21"/>
      <c r="I636" s="21"/>
      <c r="J636" s="21"/>
      <c r="K636" s="21"/>
      <c r="L636" s="21"/>
      <c r="M636" s="21"/>
      <c r="N636" s="21"/>
      <c r="O636" s="21"/>
      <c r="P636" s="21"/>
      <c r="Q636" s="18" t="s">
        <v>242</v>
      </c>
      <c r="R636" s="21"/>
      <c r="S636" s="21"/>
      <c r="T636" s="18">
        <v>1177.0</v>
      </c>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c r="BA636" s="21"/>
      <c r="BB636" s="21"/>
      <c r="BC636" s="21"/>
      <c r="BD636" s="21"/>
      <c r="BE636" s="21"/>
      <c r="BF636" s="21"/>
      <c r="BG636" s="21"/>
      <c r="BH636" s="21"/>
      <c r="BI636" s="21"/>
      <c r="BJ636" s="21"/>
      <c r="BK636" s="10"/>
    </row>
    <row r="637">
      <c r="A637" s="21"/>
      <c r="B637" s="21"/>
      <c r="C637" s="21"/>
      <c r="D637" s="21"/>
      <c r="E637" s="18">
        <v>11.0</v>
      </c>
      <c r="F637" s="18" t="s">
        <v>243</v>
      </c>
      <c r="G637" s="21"/>
      <c r="H637" s="21"/>
      <c r="I637" s="21"/>
      <c r="J637" s="21"/>
      <c r="K637" s="21"/>
      <c r="L637" s="21"/>
      <c r="M637" s="21"/>
      <c r="N637" s="21"/>
      <c r="O637" s="21"/>
      <c r="P637" s="21"/>
      <c r="Q637" s="18" t="s">
        <v>244</v>
      </c>
      <c r="R637" s="21"/>
      <c r="S637" s="21"/>
      <c r="T637" s="18">
        <v>1294.0</v>
      </c>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c r="BA637" s="21"/>
      <c r="BB637" s="21"/>
      <c r="BC637" s="21"/>
      <c r="BD637" s="21"/>
      <c r="BE637" s="21"/>
      <c r="BF637" s="21"/>
      <c r="BG637" s="21"/>
      <c r="BH637" s="21"/>
      <c r="BI637" s="21"/>
      <c r="BJ637" s="21"/>
      <c r="BK637" s="10"/>
    </row>
    <row r="638">
      <c r="A638" s="21"/>
      <c r="B638" s="21"/>
      <c r="C638" s="21"/>
      <c r="D638" s="21"/>
      <c r="E638" s="18">
        <v>12.0</v>
      </c>
      <c r="F638" s="18" t="s">
        <v>245</v>
      </c>
      <c r="G638" s="21"/>
      <c r="H638" s="21"/>
      <c r="I638" s="21"/>
      <c r="J638" s="21"/>
      <c r="K638" s="21"/>
      <c r="L638" s="21"/>
      <c r="M638" s="21"/>
      <c r="N638" s="21"/>
      <c r="O638" s="21"/>
      <c r="P638" s="21"/>
      <c r="Q638" s="18" t="s">
        <v>246</v>
      </c>
      <c r="R638" s="21"/>
      <c r="S638" s="21"/>
      <c r="T638" s="18">
        <v>1423.0</v>
      </c>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c r="BA638" s="21"/>
      <c r="BB638" s="21"/>
      <c r="BC638" s="21"/>
      <c r="BD638" s="21"/>
      <c r="BE638" s="21"/>
      <c r="BF638" s="21"/>
      <c r="BG638" s="21"/>
      <c r="BH638" s="21"/>
      <c r="BI638" s="21"/>
      <c r="BJ638" s="21"/>
      <c r="BK638" s="10"/>
    </row>
    <row r="639">
      <c r="A639" s="22"/>
      <c r="B639" s="22"/>
      <c r="C639" s="22"/>
      <c r="D639" s="22"/>
      <c r="E639" s="18">
        <v>13.0</v>
      </c>
      <c r="F639" s="18" t="s">
        <v>247</v>
      </c>
      <c r="G639" s="22"/>
      <c r="H639" s="22"/>
      <c r="I639" s="22"/>
      <c r="J639" s="22"/>
      <c r="K639" s="22"/>
      <c r="L639" s="22"/>
      <c r="M639" s="22"/>
      <c r="N639" s="22"/>
      <c r="O639" s="22"/>
      <c r="P639" s="22"/>
      <c r="Q639" s="18" t="s">
        <v>248</v>
      </c>
      <c r="R639" s="22"/>
      <c r="S639" s="22"/>
      <c r="T639" s="18">
        <v>1562.0</v>
      </c>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10"/>
    </row>
    <row r="640">
      <c r="A640" s="12" t="s">
        <v>249</v>
      </c>
      <c r="B640" s="13" t="s">
        <v>250</v>
      </c>
      <c r="C640" s="14"/>
      <c r="D640" s="14"/>
      <c r="E640" s="15"/>
      <c r="F640" s="29"/>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5"/>
      <c r="BK640" s="10"/>
    </row>
    <row r="641">
      <c r="A641" s="16" t="s">
        <v>251</v>
      </c>
      <c r="B641" s="17" t="s">
        <v>83</v>
      </c>
      <c r="C641" s="16" t="s">
        <v>87</v>
      </c>
      <c r="D641" s="16">
        <v>6.0</v>
      </c>
      <c r="E641" s="18">
        <v>1.0</v>
      </c>
      <c r="F641" s="18">
        <v>150.0</v>
      </c>
      <c r="G641" s="16" t="s">
        <v>85</v>
      </c>
      <c r="H641" s="16" t="s">
        <v>85</v>
      </c>
      <c r="I641" s="16" t="s">
        <v>85</v>
      </c>
      <c r="J641" s="16" t="s">
        <v>85</v>
      </c>
      <c r="K641" s="16" t="s">
        <v>85</v>
      </c>
      <c r="L641" s="16" t="s">
        <v>85</v>
      </c>
      <c r="M641" s="16" t="s">
        <v>85</v>
      </c>
      <c r="N641" s="16" t="s">
        <v>85</v>
      </c>
      <c r="O641" s="16" t="s">
        <v>85</v>
      </c>
      <c r="P641" s="16" t="s">
        <v>85</v>
      </c>
      <c r="Q641" s="19">
        <v>107.0</v>
      </c>
      <c r="R641" s="16" t="s">
        <v>85</v>
      </c>
      <c r="S641" s="16" t="s">
        <v>85</v>
      </c>
      <c r="T641" s="18">
        <v>524.0</v>
      </c>
      <c r="U641" s="16" t="s">
        <v>85</v>
      </c>
      <c r="V641" s="16" t="s">
        <v>85</v>
      </c>
      <c r="W641" s="16" t="s">
        <v>85</v>
      </c>
      <c r="X641" s="16" t="s">
        <v>85</v>
      </c>
      <c r="Y641" s="16" t="s">
        <v>85</v>
      </c>
      <c r="Z641" s="16" t="s">
        <v>85</v>
      </c>
      <c r="AA641" s="16" t="s">
        <v>85</v>
      </c>
      <c r="AB641" s="16" t="s">
        <v>85</v>
      </c>
      <c r="AC641" s="16" t="s">
        <v>85</v>
      </c>
      <c r="AD641" s="16" t="s">
        <v>85</v>
      </c>
      <c r="AE641" s="16" t="s">
        <v>140</v>
      </c>
      <c r="AF641" s="16" t="s">
        <v>98</v>
      </c>
      <c r="AG641" s="16" t="s">
        <v>90</v>
      </c>
      <c r="AH641" s="16" t="s">
        <v>85</v>
      </c>
      <c r="AI641" s="16" t="s">
        <v>99</v>
      </c>
      <c r="AJ641" s="16" t="s">
        <v>85</v>
      </c>
      <c r="AK641" s="16" t="s">
        <v>85</v>
      </c>
      <c r="AL641" s="16" t="s">
        <v>85</v>
      </c>
      <c r="AM641" s="16" t="s">
        <v>96</v>
      </c>
      <c r="AN641" s="16" t="s">
        <v>85</v>
      </c>
      <c r="AO641" s="16" t="s">
        <v>85</v>
      </c>
      <c r="AP641" s="16" t="s">
        <v>85</v>
      </c>
      <c r="AQ641" s="16" t="s">
        <v>85</v>
      </c>
      <c r="AR641" s="16" t="s">
        <v>85</v>
      </c>
      <c r="AS641" s="16" t="s">
        <v>85</v>
      </c>
      <c r="AT641" s="16" t="s">
        <v>85</v>
      </c>
      <c r="AU641" s="16" t="s">
        <v>85</v>
      </c>
      <c r="AV641" s="16" t="s">
        <v>85</v>
      </c>
      <c r="AW641" s="16" t="s">
        <v>85</v>
      </c>
      <c r="AX641" s="16" t="s">
        <v>85</v>
      </c>
      <c r="AY641" s="16" t="s">
        <v>85</v>
      </c>
      <c r="AZ641" s="16" t="s">
        <v>85</v>
      </c>
      <c r="BA641" s="16" t="s">
        <v>85</v>
      </c>
      <c r="BB641" s="16" t="s">
        <v>85</v>
      </c>
      <c r="BC641" s="16" t="s">
        <v>85</v>
      </c>
      <c r="BD641" s="16" t="s">
        <v>85</v>
      </c>
      <c r="BE641" s="16" t="s">
        <v>85</v>
      </c>
      <c r="BF641" s="16" t="s">
        <v>85</v>
      </c>
      <c r="BG641" s="16" t="s">
        <v>85</v>
      </c>
      <c r="BH641" s="16" t="s">
        <v>85</v>
      </c>
      <c r="BI641" s="16" t="s">
        <v>85</v>
      </c>
      <c r="BJ641" s="16" t="s">
        <v>85</v>
      </c>
      <c r="BK641" s="10"/>
    </row>
    <row r="642">
      <c r="A642" s="21"/>
      <c r="B642" s="21"/>
      <c r="C642" s="21"/>
      <c r="D642" s="21"/>
      <c r="E642" s="18">
        <v>2.0</v>
      </c>
      <c r="F642" s="19">
        <v>165.0</v>
      </c>
      <c r="G642" s="21"/>
      <c r="H642" s="21"/>
      <c r="I642" s="21"/>
      <c r="J642" s="21"/>
      <c r="K642" s="21"/>
      <c r="L642" s="21"/>
      <c r="M642" s="21"/>
      <c r="N642" s="21"/>
      <c r="O642" s="21"/>
      <c r="P642" s="21"/>
      <c r="Q642" s="19">
        <v>117.0</v>
      </c>
      <c r="R642" s="21"/>
      <c r="S642" s="21"/>
      <c r="T642" s="19">
        <v>576.0</v>
      </c>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c r="BA642" s="21"/>
      <c r="BB642" s="21"/>
      <c r="BC642" s="21"/>
      <c r="BD642" s="21"/>
      <c r="BE642" s="21"/>
      <c r="BF642" s="21"/>
      <c r="BG642" s="21"/>
      <c r="BH642" s="21"/>
      <c r="BI642" s="21"/>
      <c r="BJ642" s="21"/>
      <c r="BK642" s="10"/>
    </row>
    <row r="643">
      <c r="A643" s="21"/>
      <c r="B643" s="21"/>
      <c r="C643" s="21"/>
      <c r="D643" s="21"/>
      <c r="E643" s="18">
        <v>3.0</v>
      </c>
      <c r="F643" s="19">
        <v>181.0</v>
      </c>
      <c r="G643" s="21"/>
      <c r="H643" s="21"/>
      <c r="I643" s="21"/>
      <c r="J643" s="21"/>
      <c r="K643" s="21"/>
      <c r="L643" s="21"/>
      <c r="M643" s="21"/>
      <c r="N643" s="21"/>
      <c r="O643" s="21"/>
      <c r="P643" s="21"/>
      <c r="Q643" s="19">
        <v>129.0</v>
      </c>
      <c r="R643" s="21"/>
      <c r="S643" s="21"/>
      <c r="T643" s="19">
        <v>634.0</v>
      </c>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c r="BA643" s="21"/>
      <c r="BB643" s="21"/>
      <c r="BC643" s="21"/>
      <c r="BD643" s="21"/>
      <c r="BE643" s="21"/>
      <c r="BF643" s="21"/>
      <c r="BG643" s="21"/>
      <c r="BH643" s="21"/>
      <c r="BI643" s="21"/>
      <c r="BJ643" s="21"/>
      <c r="BK643" s="10"/>
    </row>
    <row r="644">
      <c r="A644" s="21"/>
      <c r="B644" s="21"/>
      <c r="C644" s="21"/>
      <c r="D644" s="21"/>
      <c r="E644" s="18">
        <v>4.0</v>
      </c>
      <c r="F644" s="19">
        <v>199.0</v>
      </c>
      <c r="G644" s="21"/>
      <c r="H644" s="21"/>
      <c r="I644" s="21"/>
      <c r="J644" s="21"/>
      <c r="K644" s="21"/>
      <c r="L644" s="21"/>
      <c r="M644" s="21"/>
      <c r="N644" s="21"/>
      <c r="O644" s="21"/>
      <c r="P644" s="21"/>
      <c r="Q644" s="19">
        <v>142.0</v>
      </c>
      <c r="R644" s="21"/>
      <c r="S644" s="21"/>
      <c r="T644" s="19">
        <v>696.0</v>
      </c>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c r="BA644" s="21"/>
      <c r="BB644" s="21"/>
      <c r="BC644" s="21"/>
      <c r="BD644" s="21"/>
      <c r="BE644" s="21"/>
      <c r="BF644" s="21"/>
      <c r="BG644" s="21"/>
      <c r="BH644" s="21"/>
      <c r="BI644" s="21"/>
      <c r="BJ644" s="21"/>
      <c r="BK644" s="10"/>
    </row>
    <row r="645">
      <c r="A645" s="21"/>
      <c r="B645" s="21"/>
      <c r="C645" s="21"/>
      <c r="D645" s="21"/>
      <c r="E645" s="18">
        <v>5.0</v>
      </c>
      <c r="F645" s="19">
        <v>219.0</v>
      </c>
      <c r="G645" s="21"/>
      <c r="H645" s="21"/>
      <c r="I645" s="21"/>
      <c r="J645" s="21"/>
      <c r="K645" s="21"/>
      <c r="L645" s="21"/>
      <c r="M645" s="21"/>
      <c r="N645" s="21"/>
      <c r="O645" s="21"/>
      <c r="P645" s="21"/>
      <c r="Q645" s="19">
        <v>156.0</v>
      </c>
      <c r="R645" s="21"/>
      <c r="S645" s="21"/>
      <c r="T645" s="19">
        <v>765.0</v>
      </c>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c r="BA645" s="21"/>
      <c r="BB645" s="21"/>
      <c r="BC645" s="21"/>
      <c r="BD645" s="21"/>
      <c r="BE645" s="21"/>
      <c r="BF645" s="21"/>
      <c r="BG645" s="21"/>
      <c r="BH645" s="21"/>
      <c r="BI645" s="21"/>
      <c r="BJ645" s="21"/>
      <c r="BK645" s="10"/>
    </row>
    <row r="646">
      <c r="A646" s="21"/>
      <c r="B646" s="21"/>
      <c r="C646" s="21"/>
      <c r="D646" s="21"/>
      <c r="E646" s="18">
        <v>6.0</v>
      </c>
      <c r="F646" s="19">
        <v>240.0</v>
      </c>
      <c r="G646" s="21"/>
      <c r="H646" s="21"/>
      <c r="I646" s="21"/>
      <c r="J646" s="21"/>
      <c r="K646" s="21"/>
      <c r="L646" s="21"/>
      <c r="M646" s="21"/>
      <c r="N646" s="21"/>
      <c r="O646" s="21"/>
      <c r="P646" s="21"/>
      <c r="Q646" s="19">
        <v>171.0</v>
      </c>
      <c r="R646" s="21"/>
      <c r="S646" s="21"/>
      <c r="T646" s="19">
        <v>838.0</v>
      </c>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c r="BA646" s="21"/>
      <c r="BB646" s="21"/>
      <c r="BC646" s="21"/>
      <c r="BD646" s="21"/>
      <c r="BE646" s="21"/>
      <c r="BF646" s="21"/>
      <c r="BG646" s="21"/>
      <c r="BH646" s="21"/>
      <c r="BI646" s="21"/>
      <c r="BJ646" s="21"/>
      <c r="BK646" s="10"/>
    </row>
    <row r="647">
      <c r="A647" s="21"/>
      <c r="B647" s="21"/>
      <c r="C647" s="21"/>
      <c r="D647" s="21"/>
      <c r="E647" s="18">
        <v>7.0</v>
      </c>
      <c r="F647" s="19">
        <v>264.0</v>
      </c>
      <c r="G647" s="21"/>
      <c r="H647" s="21"/>
      <c r="I647" s="21"/>
      <c r="J647" s="21"/>
      <c r="K647" s="21"/>
      <c r="L647" s="21"/>
      <c r="M647" s="21"/>
      <c r="N647" s="21"/>
      <c r="O647" s="21"/>
      <c r="P647" s="21"/>
      <c r="Q647" s="19">
        <v>188.0</v>
      </c>
      <c r="R647" s="21"/>
      <c r="S647" s="21"/>
      <c r="T647" s="19">
        <v>922.0</v>
      </c>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c r="BA647" s="21"/>
      <c r="BB647" s="21"/>
      <c r="BC647" s="21"/>
      <c r="BD647" s="21"/>
      <c r="BE647" s="21"/>
      <c r="BF647" s="21"/>
      <c r="BG647" s="21"/>
      <c r="BH647" s="21"/>
      <c r="BI647" s="21"/>
      <c r="BJ647" s="21"/>
      <c r="BK647" s="10"/>
    </row>
    <row r="648">
      <c r="A648" s="21"/>
      <c r="B648" s="21"/>
      <c r="C648" s="21"/>
      <c r="D648" s="21"/>
      <c r="E648" s="18">
        <v>8.0</v>
      </c>
      <c r="F648" s="19">
        <v>289.0</v>
      </c>
      <c r="G648" s="21"/>
      <c r="H648" s="21"/>
      <c r="I648" s="21"/>
      <c r="J648" s="21"/>
      <c r="K648" s="21"/>
      <c r="L648" s="21"/>
      <c r="M648" s="21"/>
      <c r="N648" s="21"/>
      <c r="O648" s="21"/>
      <c r="P648" s="21"/>
      <c r="Q648" s="19">
        <v>206.0</v>
      </c>
      <c r="R648" s="21"/>
      <c r="S648" s="21"/>
      <c r="T648" s="19">
        <v>1011.0</v>
      </c>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c r="BA648" s="21"/>
      <c r="BB648" s="21"/>
      <c r="BC648" s="21"/>
      <c r="BD648" s="21"/>
      <c r="BE648" s="21"/>
      <c r="BF648" s="21"/>
      <c r="BG648" s="21"/>
      <c r="BH648" s="21"/>
      <c r="BI648" s="21"/>
      <c r="BJ648" s="21"/>
      <c r="BK648" s="10"/>
    </row>
    <row r="649">
      <c r="A649" s="21"/>
      <c r="B649" s="21"/>
      <c r="C649" s="21"/>
      <c r="D649" s="21"/>
      <c r="E649" s="18">
        <v>9.0</v>
      </c>
      <c r="F649" s="19">
        <v>318.0</v>
      </c>
      <c r="G649" s="21"/>
      <c r="H649" s="21"/>
      <c r="I649" s="21"/>
      <c r="J649" s="21"/>
      <c r="K649" s="21"/>
      <c r="L649" s="21"/>
      <c r="M649" s="21"/>
      <c r="N649" s="21"/>
      <c r="O649" s="21"/>
      <c r="P649" s="21"/>
      <c r="Q649" s="19">
        <v>227.0</v>
      </c>
      <c r="R649" s="21"/>
      <c r="S649" s="21"/>
      <c r="T649" s="19">
        <v>1110.0</v>
      </c>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c r="BA649" s="21"/>
      <c r="BB649" s="21"/>
      <c r="BC649" s="21"/>
      <c r="BD649" s="21"/>
      <c r="BE649" s="21"/>
      <c r="BF649" s="21"/>
      <c r="BG649" s="21"/>
      <c r="BH649" s="21"/>
      <c r="BI649" s="21"/>
      <c r="BJ649" s="21"/>
      <c r="BK649" s="10"/>
    </row>
    <row r="650">
      <c r="A650" s="21"/>
      <c r="B650" s="21"/>
      <c r="C650" s="21"/>
      <c r="D650" s="21"/>
      <c r="E650" s="18">
        <v>10.0</v>
      </c>
      <c r="F650" s="19">
        <v>349.0</v>
      </c>
      <c r="G650" s="21"/>
      <c r="H650" s="21"/>
      <c r="I650" s="21"/>
      <c r="J650" s="21"/>
      <c r="K650" s="21"/>
      <c r="L650" s="21"/>
      <c r="M650" s="21"/>
      <c r="N650" s="21"/>
      <c r="O650" s="21"/>
      <c r="P650" s="21"/>
      <c r="Q650" s="19">
        <v>249.0</v>
      </c>
      <c r="R650" s="21"/>
      <c r="S650" s="21"/>
      <c r="T650" s="19">
        <v>1220.0</v>
      </c>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c r="BA650" s="21"/>
      <c r="BB650" s="21"/>
      <c r="BC650" s="21"/>
      <c r="BD650" s="21"/>
      <c r="BE650" s="21"/>
      <c r="BF650" s="21"/>
      <c r="BG650" s="21"/>
      <c r="BH650" s="21"/>
      <c r="BI650" s="21"/>
      <c r="BJ650" s="21"/>
      <c r="BK650" s="10"/>
    </row>
    <row r="651">
      <c r="A651" s="21"/>
      <c r="B651" s="21"/>
      <c r="C651" s="21"/>
      <c r="D651" s="21"/>
      <c r="E651" s="18">
        <v>11.0</v>
      </c>
      <c r="F651" s="19">
        <v>384.0</v>
      </c>
      <c r="G651" s="21"/>
      <c r="H651" s="21"/>
      <c r="I651" s="21"/>
      <c r="J651" s="21"/>
      <c r="K651" s="21"/>
      <c r="L651" s="21"/>
      <c r="M651" s="21"/>
      <c r="N651" s="21"/>
      <c r="O651" s="21"/>
      <c r="P651" s="21"/>
      <c r="Q651" s="19">
        <v>274.0</v>
      </c>
      <c r="R651" s="21"/>
      <c r="S651" s="21"/>
      <c r="T651" s="19">
        <v>1341.0</v>
      </c>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c r="BA651" s="21"/>
      <c r="BB651" s="21"/>
      <c r="BC651" s="21"/>
      <c r="BD651" s="21"/>
      <c r="BE651" s="21"/>
      <c r="BF651" s="21"/>
      <c r="BG651" s="21"/>
      <c r="BH651" s="21"/>
      <c r="BI651" s="21"/>
      <c r="BJ651" s="21"/>
      <c r="BK651" s="10"/>
    </row>
    <row r="652">
      <c r="A652" s="21"/>
      <c r="B652" s="21"/>
      <c r="C652" s="21"/>
      <c r="D652" s="21"/>
      <c r="E652" s="18">
        <v>12.0</v>
      </c>
      <c r="F652" s="19">
        <v>421.0</v>
      </c>
      <c r="G652" s="21"/>
      <c r="H652" s="21"/>
      <c r="I652" s="21"/>
      <c r="J652" s="21"/>
      <c r="K652" s="21"/>
      <c r="L652" s="21"/>
      <c r="M652" s="21"/>
      <c r="N652" s="21"/>
      <c r="O652" s="21"/>
      <c r="P652" s="21"/>
      <c r="Q652" s="19">
        <v>300.0</v>
      </c>
      <c r="R652" s="21"/>
      <c r="S652" s="21"/>
      <c r="T652" s="19">
        <v>1472.0</v>
      </c>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c r="BA652" s="21"/>
      <c r="BB652" s="21"/>
      <c r="BC652" s="21"/>
      <c r="BD652" s="21"/>
      <c r="BE652" s="21"/>
      <c r="BF652" s="21"/>
      <c r="BG652" s="21"/>
      <c r="BH652" s="21"/>
      <c r="BI652" s="21"/>
      <c r="BJ652" s="21"/>
      <c r="BK652" s="10"/>
    </row>
    <row r="653">
      <c r="A653" s="22"/>
      <c r="B653" s="22"/>
      <c r="C653" s="22"/>
      <c r="D653" s="22"/>
      <c r="E653" s="18">
        <v>13.0</v>
      </c>
      <c r="F653" s="19">
        <v>463.0</v>
      </c>
      <c r="G653" s="22"/>
      <c r="H653" s="22"/>
      <c r="I653" s="22"/>
      <c r="J653" s="22"/>
      <c r="K653" s="22"/>
      <c r="L653" s="22"/>
      <c r="M653" s="22"/>
      <c r="N653" s="22"/>
      <c r="O653" s="22"/>
      <c r="P653" s="22"/>
      <c r="Q653" s="19">
        <v>330.0</v>
      </c>
      <c r="R653" s="22"/>
      <c r="S653" s="22"/>
      <c r="T653" s="19">
        <v>1619.0</v>
      </c>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10"/>
    </row>
    <row r="654">
      <c r="A654" s="16" t="s">
        <v>252</v>
      </c>
      <c r="B654" s="17" t="s">
        <v>83</v>
      </c>
      <c r="C654" s="16" t="s">
        <v>87</v>
      </c>
      <c r="D654" s="16">
        <v>5.0</v>
      </c>
      <c r="E654" s="18">
        <v>1.0</v>
      </c>
      <c r="F654" s="18">
        <v>40.0</v>
      </c>
      <c r="G654" s="16" t="s">
        <v>85</v>
      </c>
      <c r="H654" s="16" t="s">
        <v>85</v>
      </c>
      <c r="I654" s="16" t="s">
        <v>85</v>
      </c>
      <c r="J654" s="16" t="s">
        <v>85</v>
      </c>
      <c r="K654" s="16" t="s">
        <v>85</v>
      </c>
      <c r="L654" s="16" t="s">
        <v>85</v>
      </c>
      <c r="M654" s="16" t="s">
        <v>85</v>
      </c>
      <c r="N654" s="16" t="s">
        <v>85</v>
      </c>
      <c r="O654" s="16" t="s">
        <v>85</v>
      </c>
      <c r="P654" s="16" t="s">
        <v>85</v>
      </c>
      <c r="Q654" s="18">
        <v>40.0</v>
      </c>
      <c r="R654" s="16" t="s">
        <v>85</v>
      </c>
      <c r="S654" s="16" t="s">
        <v>85</v>
      </c>
      <c r="T654" s="18">
        <v>90.0</v>
      </c>
      <c r="U654" s="16" t="s">
        <v>85</v>
      </c>
      <c r="V654" s="16" t="s">
        <v>85</v>
      </c>
      <c r="W654" s="16" t="s">
        <v>85</v>
      </c>
      <c r="X654" s="16" t="s">
        <v>85</v>
      </c>
      <c r="Y654" s="16" t="s">
        <v>85</v>
      </c>
      <c r="Z654" s="16" t="s">
        <v>85</v>
      </c>
      <c r="AA654" s="16" t="s">
        <v>85</v>
      </c>
      <c r="AB654" s="16" t="s">
        <v>85</v>
      </c>
      <c r="AC654" s="16" t="s">
        <v>85</v>
      </c>
      <c r="AD654" s="16" t="s">
        <v>85</v>
      </c>
      <c r="AE654" s="16" t="s">
        <v>88</v>
      </c>
      <c r="AF654" s="16" t="s">
        <v>89</v>
      </c>
      <c r="AG654" s="16" t="s">
        <v>90</v>
      </c>
      <c r="AH654" s="16" t="s">
        <v>85</v>
      </c>
      <c r="AI654" s="16" t="s">
        <v>91</v>
      </c>
      <c r="AJ654" s="16" t="s">
        <v>85</v>
      </c>
      <c r="AK654" s="16" t="s">
        <v>85</v>
      </c>
      <c r="AL654" s="16" t="s">
        <v>85</v>
      </c>
      <c r="AM654" s="16" t="s">
        <v>208</v>
      </c>
      <c r="AN654" s="16" t="s">
        <v>85</v>
      </c>
      <c r="AO654" s="16" t="s">
        <v>85</v>
      </c>
      <c r="AP654" s="16" t="s">
        <v>85</v>
      </c>
      <c r="AQ654" s="16" t="s">
        <v>85</v>
      </c>
      <c r="AR654" s="16" t="s">
        <v>85</v>
      </c>
      <c r="AS654" s="16" t="s">
        <v>85</v>
      </c>
      <c r="AT654" s="16" t="s">
        <v>85</v>
      </c>
      <c r="AU654" s="16" t="s">
        <v>85</v>
      </c>
      <c r="AV654" s="16" t="s">
        <v>85</v>
      </c>
      <c r="AW654" s="16" t="s">
        <v>85</v>
      </c>
      <c r="AX654" s="16" t="s">
        <v>85</v>
      </c>
      <c r="AY654" s="16" t="s">
        <v>85</v>
      </c>
      <c r="AZ654" s="16" t="s">
        <v>85</v>
      </c>
      <c r="BA654" s="16" t="s">
        <v>85</v>
      </c>
      <c r="BB654" s="16" t="s">
        <v>85</v>
      </c>
      <c r="BC654" s="16" t="s">
        <v>85</v>
      </c>
      <c r="BD654" s="16" t="s">
        <v>85</v>
      </c>
      <c r="BE654" s="16" t="s">
        <v>85</v>
      </c>
      <c r="BF654" s="16" t="s">
        <v>85</v>
      </c>
      <c r="BG654" s="16" t="s">
        <v>85</v>
      </c>
      <c r="BH654" s="16" t="s">
        <v>85</v>
      </c>
      <c r="BI654" s="16" t="s">
        <v>85</v>
      </c>
      <c r="BJ654" s="16" t="s">
        <v>85</v>
      </c>
      <c r="BK654" s="24"/>
    </row>
    <row r="655">
      <c r="A655" s="21"/>
      <c r="B655" s="21"/>
      <c r="C655" s="21"/>
      <c r="D655" s="21"/>
      <c r="E655" s="18">
        <v>2.0</v>
      </c>
      <c r="F655" s="18">
        <v>44.0</v>
      </c>
      <c r="G655" s="21"/>
      <c r="H655" s="21"/>
      <c r="I655" s="21"/>
      <c r="J655" s="21"/>
      <c r="K655" s="21"/>
      <c r="L655" s="21"/>
      <c r="M655" s="21"/>
      <c r="N655" s="21"/>
      <c r="O655" s="21"/>
      <c r="P655" s="21"/>
      <c r="Q655" s="18">
        <v>44.0</v>
      </c>
      <c r="R655" s="21"/>
      <c r="S655" s="21"/>
      <c r="T655" s="18">
        <v>99.0</v>
      </c>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c r="BA655" s="21"/>
      <c r="BB655" s="21"/>
      <c r="BC655" s="21"/>
      <c r="BD655" s="21"/>
      <c r="BE655" s="21"/>
      <c r="BF655" s="21"/>
      <c r="BG655" s="21"/>
      <c r="BH655" s="21"/>
      <c r="BI655" s="21"/>
      <c r="BJ655" s="21"/>
      <c r="BK655" s="24"/>
    </row>
    <row r="656">
      <c r="A656" s="21"/>
      <c r="B656" s="21"/>
      <c r="C656" s="21"/>
      <c r="D656" s="21"/>
      <c r="E656" s="18">
        <v>3.0</v>
      </c>
      <c r="F656" s="18">
        <v>48.0</v>
      </c>
      <c r="G656" s="21"/>
      <c r="H656" s="21"/>
      <c r="I656" s="21"/>
      <c r="J656" s="21"/>
      <c r="K656" s="21"/>
      <c r="L656" s="21"/>
      <c r="M656" s="21"/>
      <c r="N656" s="21"/>
      <c r="O656" s="21"/>
      <c r="P656" s="21"/>
      <c r="Q656" s="18">
        <v>48.0</v>
      </c>
      <c r="R656" s="21"/>
      <c r="S656" s="21"/>
      <c r="T656" s="18">
        <v>108.0</v>
      </c>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c r="BA656" s="21"/>
      <c r="BB656" s="21"/>
      <c r="BC656" s="21"/>
      <c r="BD656" s="21"/>
      <c r="BE656" s="21"/>
      <c r="BF656" s="21"/>
      <c r="BG656" s="21"/>
      <c r="BH656" s="21"/>
      <c r="BI656" s="21"/>
      <c r="BJ656" s="21"/>
      <c r="BK656" s="24"/>
    </row>
    <row r="657">
      <c r="A657" s="21"/>
      <c r="B657" s="21"/>
      <c r="C657" s="21"/>
      <c r="D657" s="21"/>
      <c r="E657" s="18">
        <v>4.0</v>
      </c>
      <c r="F657" s="18">
        <v>53.0</v>
      </c>
      <c r="G657" s="21"/>
      <c r="H657" s="21"/>
      <c r="I657" s="21"/>
      <c r="J657" s="21"/>
      <c r="K657" s="21"/>
      <c r="L657" s="21"/>
      <c r="M657" s="21"/>
      <c r="N657" s="21"/>
      <c r="O657" s="21"/>
      <c r="P657" s="21"/>
      <c r="Q657" s="18">
        <v>53.0</v>
      </c>
      <c r="R657" s="21"/>
      <c r="S657" s="21"/>
      <c r="T657" s="18">
        <v>119.0</v>
      </c>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c r="BA657" s="21"/>
      <c r="BB657" s="21"/>
      <c r="BC657" s="21"/>
      <c r="BD657" s="21"/>
      <c r="BE657" s="21"/>
      <c r="BF657" s="21"/>
      <c r="BG657" s="21"/>
      <c r="BH657" s="21"/>
      <c r="BI657" s="21"/>
      <c r="BJ657" s="21"/>
      <c r="BK657" s="24"/>
    </row>
    <row r="658">
      <c r="A658" s="21"/>
      <c r="B658" s="21"/>
      <c r="C658" s="21"/>
      <c r="D658" s="21"/>
      <c r="E658" s="18">
        <v>5.0</v>
      </c>
      <c r="F658" s="18">
        <v>58.0</v>
      </c>
      <c r="G658" s="21"/>
      <c r="H658" s="21"/>
      <c r="I658" s="21"/>
      <c r="J658" s="21"/>
      <c r="K658" s="21"/>
      <c r="L658" s="21"/>
      <c r="M658" s="21"/>
      <c r="N658" s="21"/>
      <c r="O658" s="21"/>
      <c r="P658" s="21"/>
      <c r="Q658" s="18">
        <v>58.0</v>
      </c>
      <c r="R658" s="21"/>
      <c r="S658" s="21"/>
      <c r="T658" s="18">
        <v>131.0</v>
      </c>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c r="BA658" s="21"/>
      <c r="BB658" s="21"/>
      <c r="BC658" s="21"/>
      <c r="BD658" s="21"/>
      <c r="BE658" s="21"/>
      <c r="BF658" s="21"/>
      <c r="BG658" s="21"/>
      <c r="BH658" s="21"/>
      <c r="BI658" s="21"/>
      <c r="BJ658" s="21"/>
      <c r="BK658" s="24"/>
    </row>
    <row r="659">
      <c r="A659" s="21"/>
      <c r="B659" s="21"/>
      <c r="C659" s="21"/>
      <c r="D659" s="21"/>
      <c r="E659" s="18">
        <v>6.0</v>
      </c>
      <c r="F659" s="18">
        <v>64.0</v>
      </c>
      <c r="G659" s="21"/>
      <c r="H659" s="21"/>
      <c r="I659" s="21"/>
      <c r="J659" s="21"/>
      <c r="K659" s="21"/>
      <c r="L659" s="21"/>
      <c r="M659" s="21"/>
      <c r="N659" s="21"/>
      <c r="O659" s="21"/>
      <c r="P659" s="21"/>
      <c r="Q659" s="18">
        <v>64.0</v>
      </c>
      <c r="R659" s="21"/>
      <c r="S659" s="21"/>
      <c r="T659" s="18">
        <v>144.0</v>
      </c>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c r="BA659" s="21"/>
      <c r="BB659" s="21"/>
      <c r="BC659" s="21"/>
      <c r="BD659" s="21"/>
      <c r="BE659" s="21"/>
      <c r="BF659" s="21"/>
      <c r="BG659" s="21"/>
      <c r="BH659" s="21"/>
      <c r="BI659" s="21"/>
      <c r="BJ659" s="21"/>
      <c r="BK659" s="24"/>
    </row>
    <row r="660">
      <c r="A660" s="21"/>
      <c r="B660" s="21"/>
      <c r="C660" s="21"/>
      <c r="D660" s="21"/>
      <c r="E660" s="18">
        <v>7.0</v>
      </c>
      <c r="F660" s="18">
        <v>70.0</v>
      </c>
      <c r="G660" s="21"/>
      <c r="H660" s="21"/>
      <c r="I660" s="21"/>
      <c r="J660" s="21"/>
      <c r="K660" s="21"/>
      <c r="L660" s="21"/>
      <c r="M660" s="21"/>
      <c r="N660" s="21"/>
      <c r="O660" s="21"/>
      <c r="P660" s="21"/>
      <c r="Q660" s="18">
        <v>70.0</v>
      </c>
      <c r="R660" s="21"/>
      <c r="S660" s="21"/>
      <c r="T660" s="18">
        <v>158.0</v>
      </c>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c r="BA660" s="21"/>
      <c r="BB660" s="21"/>
      <c r="BC660" s="21"/>
      <c r="BD660" s="21"/>
      <c r="BE660" s="21"/>
      <c r="BF660" s="21"/>
      <c r="BG660" s="21"/>
      <c r="BH660" s="21"/>
      <c r="BI660" s="21"/>
      <c r="BJ660" s="21"/>
      <c r="BK660" s="24"/>
    </row>
    <row r="661">
      <c r="A661" s="21"/>
      <c r="B661" s="21"/>
      <c r="C661" s="21"/>
      <c r="D661" s="21"/>
      <c r="E661" s="18">
        <v>8.0</v>
      </c>
      <c r="F661" s="18">
        <v>77.0</v>
      </c>
      <c r="G661" s="21"/>
      <c r="H661" s="21"/>
      <c r="I661" s="21"/>
      <c r="J661" s="21"/>
      <c r="K661" s="21"/>
      <c r="L661" s="21"/>
      <c r="M661" s="21"/>
      <c r="N661" s="21"/>
      <c r="O661" s="21"/>
      <c r="P661" s="21"/>
      <c r="Q661" s="18">
        <v>77.0</v>
      </c>
      <c r="R661" s="21"/>
      <c r="S661" s="21"/>
      <c r="T661" s="18">
        <v>173.0</v>
      </c>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c r="BA661" s="21"/>
      <c r="BB661" s="21"/>
      <c r="BC661" s="21"/>
      <c r="BD661" s="21"/>
      <c r="BE661" s="21"/>
      <c r="BF661" s="21"/>
      <c r="BG661" s="21"/>
      <c r="BH661" s="21"/>
      <c r="BI661" s="21"/>
      <c r="BJ661" s="21"/>
      <c r="BK661" s="24"/>
    </row>
    <row r="662">
      <c r="A662" s="21"/>
      <c r="B662" s="21"/>
      <c r="C662" s="21"/>
      <c r="D662" s="21"/>
      <c r="E662" s="18">
        <v>9.0</v>
      </c>
      <c r="F662" s="18">
        <v>84.0</v>
      </c>
      <c r="G662" s="21"/>
      <c r="H662" s="21"/>
      <c r="I662" s="21"/>
      <c r="J662" s="21"/>
      <c r="K662" s="21"/>
      <c r="L662" s="21"/>
      <c r="M662" s="21"/>
      <c r="N662" s="21"/>
      <c r="O662" s="21"/>
      <c r="P662" s="21"/>
      <c r="Q662" s="18">
        <v>84.0</v>
      </c>
      <c r="R662" s="21"/>
      <c r="S662" s="21"/>
      <c r="T662" s="18">
        <v>190.0</v>
      </c>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c r="BA662" s="21"/>
      <c r="BB662" s="21"/>
      <c r="BC662" s="21"/>
      <c r="BD662" s="21"/>
      <c r="BE662" s="21"/>
      <c r="BF662" s="21"/>
      <c r="BG662" s="21"/>
      <c r="BH662" s="21"/>
      <c r="BI662" s="21"/>
      <c r="BJ662" s="21"/>
      <c r="BK662" s="24"/>
    </row>
    <row r="663">
      <c r="A663" s="21"/>
      <c r="B663" s="21"/>
      <c r="C663" s="21"/>
      <c r="D663" s="21"/>
      <c r="E663" s="18">
        <v>10.0</v>
      </c>
      <c r="F663" s="18">
        <v>93.0</v>
      </c>
      <c r="G663" s="21"/>
      <c r="H663" s="21"/>
      <c r="I663" s="21"/>
      <c r="J663" s="21"/>
      <c r="K663" s="21"/>
      <c r="L663" s="21"/>
      <c r="M663" s="21"/>
      <c r="N663" s="21"/>
      <c r="O663" s="21"/>
      <c r="P663" s="21"/>
      <c r="Q663" s="18">
        <v>93.0</v>
      </c>
      <c r="R663" s="21"/>
      <c r="S663" s="21"/>
      <c r="T663" s="18">
        <v>209.0</v>
      </c>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c r="BA663" s="21"/>
      <c r="BB663" s="21"/>
      <c r="BC663" s="21"/>
      <c r="BD663" s="21"/>
      <c r="BE663" s="21"/>
      <c r="BF663" s="21"/>
      <c r="BG663" s="21"/>
      <c r="BH663" s="21"/>
      <c r="BI663" s="21"/>
      <c r="BJ663" s="21"/>
      <c r="BK663" s="24"/>
    </row>
    <row r="664">
      <c r="A664" s="21"/>
      <c r="B664" s="21"/>
      <c r="C664" s="21"/>
      <c r="D664" s="21"/>
      <c r="E664" s="18">
        <v>11.0</v>
      </c>
      <c r="F664" s="18">
        <v>102.0</v>
      </c>
      <c r="G664" s="21"/>
      <c r="H664" s="21"/>
      <c r="I664" s="21"/>
      <c r="J664" s="21"/>
      <c r="K664" s="21"/>
      <c r="L664" s="21"/>
      <c r="M664" s="21"/>
      <c r="N664" s="21"/>
      <c r="O664" s="21"/>
      <c r="P664" s="21"/>
      <c r="Q664" s="18">
        <v>102.0</v>
      </c>
      <c r="R664" s="21"/>
      <c r="S664" s="21"/>
      <c r="T664" s="18">
        <v>230.0</v>
      </c>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c r="BA664" s="21"/>
      <c r="BB664" s="21"/>
      <c r="BC664" s="21"/>
      <c r="BD664" s="21"/>
      <c r="BE664" s="21"/>
      <c r="BF664" s="21"/>
      <c r="BG664" s="21"/>
      <c r="BH664" s="21"/>
      <c r="BI664" s="21"/>
      <c r="BJ664" s="21"/>
      <c r="BK664" s="24"/>
    </row>
    <row r="665">
      <c r="A665" s="21"/>
      <c r="B665" s="21"/>
      <c r="C665" s="21"/>
      <c r="D665" s="21"/>
      <c r="E665" s="18">
        <v>12.0</v>
      </c>
      <c r="F665" s="18">
        <v>112.0</v>
      </c>
      <c r="G665" s="21"/>
      <c r="H665" s="21"/>
      <c r="I665" s="21"/>
      <c r="J665" s="21"/>
      <c r="K665" s="21"/>
      <c r="L665" s="21"/>
      <c r="M665" s="21"/>
      <c r="N665" s="21"/>
      <c r="O665" s="21"/>
      <c r="P665" s="21"/>
      <c r="Q665" s="18">
        <v>112.0</v>
      </c>
      <c r="R665" s="21"/>
      <c r="S665" s="21"/>
      <c r="T665" s="18">
        <v>252.0</v>
      </c>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c r="BA665" s="21"/>
      <c r="BB665" s="21"/>
      <c r="BC665" s="21"/>
      <c r="BD665" s="21"/>
      <c r="BE665" s="21"/>
      <c r="BF665" s="21"/>
      <c r="BG665" s="21"/>
      <c r="BH665" s="21"/>
      <c r="BI665" s="21"/>
      <c r="BJ665" s="21"/>
      <c r="BK665" s="24"/>
    </row>
    <row r="666">
      <c r="A666" s="22"/>
      <c r="B666" s="22"/>
      <c r="C666" s="22"/>
      <c r="D666" s="22"/>
      <c r="E666" s="18">
        <v>13.0</v>
      </c>
      <c r="F666" s="18">
        <v>123.0</v>
      </c>
      <c r="G666" s="22"/>
      <c r="H666" s="22"/>
      <c r="I666" s="22"/>
      <c r="J666" s="22"/>
      <c r="K666" s="22"/>
      <c r="L666" s="22"/>
      <c r="M666" s="22"/>
      <c r="N666" s="22"/>
      <c r="O666" s="22"/>
      <c r="P666" s="22"/>
      <c r="Q666" s="18">
        <v>123.0</v>
      </c>
      <c r="R666" s="22"/>
      <c r="S666" s="22"/>
      <c r="T666" s="18">
        <v>278.0</v>
      </c>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4"/>
    </row>
    <row r="667">
      <c r="A667" s="16" t="s">
        <v>253</v>
      </c>
      <c r="B667" s="34" t="s">
        <v>101</v>
      </c>
      <c r="C667" s="16" t="s">
        <v>117</v>
      </c>
      <c r="D667" s="16">
        <v>4.0</v>
      </c>
      <c r="E667" s="32">
        <v>3.0</v>
      </c>
      <c r="F667" s="16" t="s">
        <v>85</v>
      </c>
      <c r="G667" s="16" t="s">
        <v>85</v>
      </c>
      <c r="H667" s="16" t="s">
        <v>85</v>
      </c>
      <c r="I667" s="16" t="s">
        <v>85</v>
      </c>
      <c r="J667" s="16" t="s">
        <v>85</v>
      </c>
      <c r="K667" s="16" t="s">
        <v>85</v>
      </c>
      <c r="L667" s="16" t="s">
        <v>85</v>
      </c>
      <c r="M667" s="16" t="s">
        <v>85</v>
      </c>
      <c r="N667" s="16" t="s">
        <v>85</v>
      </c>
      <c r="O667" s="16" t="s">
        <v>85</v>
      </c>
      <c r="P667" s="16" t="s">
        <v>85</v>
      </c>
      <c r="Q667" s="16" t="s">
        <v>85</v>
      </c>
      <c r="R667" s="16" t="s">
        <v>85</v>
      </c>
      <c r="S667" s="16" t="s">
        <v>85</v>
      </c>
      <c r="T667" s="18">
        <v>480.0</v>
      </c>
      <c r="U667" s="16" t="s">
        <v>85</v>
      </c>
      <c r="V667" s="16" t="s">
        <v>85</v>
      </c>
      <c r="W667" s="16" t="s">
        <v>254</v>
      </c>
      <c r="X667" s="18">
        <v>3.0</v>
      </c>
      <c r="Y667" s="16" t="s">
        <v>85</v>
      </c>
      <c r="Z667" s="16" t="s">
        <v>85</v>
      </c>
      <c r="AA667" s="16" t="s">
        <v>85</v>
      </c>
      <c r="AB667" s="16" t="s">
        <v>85</v>
      </c>
      <c r="AC667" s="16" t="s">
        <v>191</v>
      </c>
      <c r="AD667" s="16" t="s">
        <v>85</v>
      </c>
      <c r="AE667" s="16" t="s">
        <v>85</v>
      </c>
      <c r="AF667" s="16" t="s">
        <v>85</v>
      </c>
      <c r="AG667" s="16" t="s">
        <v>85</v>
      </c>
      <c r="AH667" s="16" t="s">
        <v>85</v>
      </c>
      <c r="AI667" s="16" t="s">
        <v>85</v>
      </c>
      <c r="AJ667" s="16" t="s">
        <v>85</v>
      </c>
      <c r="AK667" s="16" t="s">
        <v>85</v>
      </c>
      <c r="AL667" s="16" t="s">
        <v>255</v>
      </c>
      <c r="AM667" s="16" t="s">
        <v>85</v>
      </c>
      <c r="AN667" s="16" t="s">
        <v>85</v>
      </c>
      <c r="AO667" s="16" t="s">
        <v>85</v>
      </c>
      <c r="AP667" s="16" t="s">
        <v>85</v>
      </c>
      <c r="AQ667" s="16" t="s">
        <v>85</v>
      </c>
      <c r="AR667" s="16" t="s">
        <v>85</v>
      </c>
      <c r="AS667" s="16" t="s">
        <v>85</v>
      </c>
      <c r="AT667" s="16" t="s">
        <v>85</v>
      </c>
      <c r="AU667" s="16" t="s">
        <v>85</v>
      </c>
      <c r="AV667" s="16" t="s">
        <v>85</v>
      </c>
      <c r="AW667" s="16" t="s">
        <v>85</v>
      </c>
      <c r="AX667" s="16" t="s">
        <v>85</v>
      </c>
      <c r="AY667" s="16" t="s">
        <v>85</v>
      </c>
      <c r="AZ667" s="16" t="s">
        <v>85</v>
      </c>
      <c r="BA667" s="16" t="s">
        <v>85</v>
      </c>
      <c r="BB667" s="16" t="s">
        <v>85</v>
      </c>
      <c r="BC667" s="16" t="s">
        <v>85</v>
      </c>
      <c r="BD667" s="16" t="s">
        <v>85</v>
      </c>
      <c r="BE667" s="16" t="s">
        <v>85</v>
      </c>
      <c r="BF667" s="16" t="s">
        <v>85</v>
      </c>
      <c r="BG667" s="16" t="s">
        <v>85</v>
      </c>
      <c r="BH667" s="16" t="s">
        <v>85</v>
      </c>
      <c r="BI667" s="16" t="s">
        <v>85</v>
      </c>
      <c r="BJ667" s="16" t="s">
        <v>85</v>
      </c>
      <c r="BK667" s="10"/>
    </row>
    <row r="668">
      <c r="A668" s="21"/>
      <c r="B668" s="21"/>
      <c r="C668" s="21"/>
      <c r="D668" s="21"/>
      <c r="E668" s="32">
        <v>4.0</v>
      </c>
      <c r="F668" s="21"/>
      <c r="G668" s="21"/>
      <c r="H668" s="21"/>
      <c r="I668" s="21"/>
      <c r="J668" s="21"/>
      <c r="K668" s="21"/>
      <c r="L668" s="21"/>
      <c r="M668" s="21"/>
      <c r="N668" s="21"/>
      <c r="O668" s="21"/>
      <c r="P668" s="21"/>
      <c r="Q668" s="21"/>
      <c r="R668" s="21"/>
      <c r="S668" s="21"/>
      <c r="T668" s="19">
        <v>528.0</v>
      </c>
      <c r="U668" s="21"/>
      <c r="V668" s="21"/>
      <c r="W668" s="21"/>
      <c r="X668" s="18">
        <v>4.0</v>
      </c>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c r="BA668" s="21"/>
      <c r="BB668" s="21"/>
      <c r="BC668" s="21"/>
      <c r="BD668" s="21"/>
      <c r="BE668" s="21"/>
      <c r="BF668" s="21"/>
      <c r="BG668" s="21"/>
      <c r="BH668" s="21"/>
      <c r="BI668" s="21"/>
      <c r="BJ668" s="21"/>
      <c r="BK668" s="10"/>
    </row>
    <row r="669">
      <c r="A669" s="21"/>
      <c r="B669" s="21"/>
      <c r="C669" s="21"/>
      <c r="D669" s="21"/>
      <c r="E669" s="32">
        <v>5.0</v>
      </c>
      <c r="F669" s="21"/>
      <c r="G669" s="21"/>
      <c r="H669" s="21"/>
      <c r="I669" s="21"/>
      <c r="J669" s="21"/>
      <c r="K669" s="21"/>
      <c r="L669" s="21"/>
      <c r="M669" s="21"/>
      <c r="N669" s="21"/>
      <c r="O669" s="21"/>
      <c r="P669" s="21"/>
      <c r="Q669" s="21"/>
      <c r="R669" s="21"/>
      <c r="S669" s="21"/>
      <c r="T669" s="19">
        <v>580.0</v>
      </c>
      <c r="U669" s="21"/>
      <c r="V669" s="21"/>
      <c r="W669" s="21"/>
      <c r="X669" s="18">
        <v>5.0</v>
      </c>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c r="BA669" s="21"/>
      <c r="BB669" s="21"/>
      <c r="BC669" s="21"/>
      <c r="BD669" s="21"/>
      <c r="BE669" s="21"/>
      <c r="BF669" s="21"/>
      <c r="BG669" s="21"/>
      <c r="BH669" s="21"/>
      <c r="BI669" s="21"/>
      <c r="BJ669" s="21"/>
      <c r="BK669" s="10"/>
    </row>
    <row r="670">
      <c r="A670" s="21"/>
      <c r="B670" s="21"/>
      <c r="C670" s="21"/>
      <c r="D670" s="21"/>
      <c r="E670" s="32">
        <v>6.0</v>
      </c>
      <c r="F670" s="21"/>
      <c r="G670" s="21"/>
      <c r="H670" s="21"/>
      <c r="I670" s="21"/>
      <c r="J670" s="21"/>
      <c r="K670" s="21"/>
      <c r="L670" s="21"/>
      <c r="M670" s="21"/>
      <c r="N670" s="21"/>
      <c r="O670" s="21"/>
      <c r="P670" s="21"/>
      <c r="Q670" s="21"/>
      <c r="R670" s="21"/>
      <c r="S670" s="21"/>
      <c r="T670" s="19">
        <v>638.0</v>
      </c>
      <c r="U670" s="21"/>
      <c r="V670" s="21"/>
      <c r="W670" s="21"/>
      <c r="X670" s="18">
        <v>6.0</v>
      </c>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c r="BA670" s="21"/>
      <c r="BB670" s="21"/>
      <c r="BC670" s="21"/>
      <c r="BD670" s="21"/>
      <c r="BE670" s="21"/>
      <c r="BF670" s="21"/>
      <c r="BG670" s="21"/>
      <c r="BH670" s="21"/>
      <c r="BI670" s="21"/>
      <c r="BJ670" s="21"/>
      <c r="BK670" s="10"/>
    </row>
    <row r="671">
      <c r="A671" s="21"/>
      <c r="B671" s="21"/>
      <c r="C671" s="21"/>
      <c r="D671" s="21"/>
      <c r="E671" s="32">
        <v>7.0</v>
      </c>
      <c r="F671" s="21"/>
      <c r="G671" s="21"/>
      <c r="H671" s="21"/>
      <c r="I671" s="21"/>
      <c r="J671" s="21"/>
      <c r="K671" s="21"/>
      <c r="L671" s="21"/>
      <c r="M671" s="21"/>
      <c r="N671" s="21"/>
      <c r="O671" s="21"/>
      <c r="P671" s="21"/>
      <c r="Q671" s="21"/>
      <c r="R671" s="21"/>
      <c r="S671" s="21"/>
      <c r="T671" s="19">
        <v>700.0</v>
      </c>
      <c r="U671" s="21"/>
      <c r="V671" s="21"/>
      <c r="W671" s="21"/>
      <c r="X671" s="18">
        <v>7.0</v>
      </c>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c r="BA671" s="21"/>
      <c r="BB671" s="21"/>
      <c r="BC671" s="21"/>
      <c r="BD671" s="21"/>
      <c r="BE671" s="21"/>
      <c r="BF671" s="21"/>
      <c r="BG671" s="21"/>
      <c r="BH671" s="21"/>
      <c r="BI671" s="21"/>
      <c r="BJ671" s="21"/>
      <c r="BK671" s="10"/>
    </row>
    <row r="672">
      <c r="A672" s="21"/>
      <c r="B672" s="21"/>
      <c r="C672" s="21"/>
      <c r="D672" s="21"/>
      <c r="E672" s="32">
        <v>8.0</v>
      </c>
      <c r="F672" s="21"/>
      <c r="G672" s="21"/>
      <c r="H672" s="21"/>
      <c r="I672" s="21"/>
      <c r="J672" s="21"/>
      <c r="K672" s="21"/>
      <c r="L672" s="21"/>
      <c r="M672" s="21"/>
      <c r="N672" s="21"/>
      <c r="O672" s="21"/>
      <c r="P672" s="21"/>
      <c r="Q672" s="21"/>
      <c r="R672" s="21"/>
      <c r="S672" s="21"/>
      <c r="T672" s="19">
        <v>768.0</v>
      </c>
      <c r="U672" s="21"/>
      <c r="V672" s="21"/>
      <c r="W672" s="21"/>
      <c r="X672" s="18">
        <v>8.0</v>
      </c>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c r="BA672" s="21"/>
      <c r="BB672" s="21"/>
      <c r="BC672" s="21"/>
      <c r="BD672" s="21"/>
      <c r="BE672" s="21"/>
      <c r="BF672" s="21"/>
      <c r="BG672" s="21"/>
      <c r="BH672" s="21"/>
      <c r="BI672" s="21"/>
      <c r="BJ672" s="21"/>
      <c r="BK672" s="10"/>
    </row>
    <row r="673">
      <c r="A673" s="21"/>
      <c r="B673" s="21"/>
      <c r="C673" s="21"/>
      <c r="D673" s="21"/>
      <c r="E673" s="32">
        <v>9.0</v>
      </c>
      <c r="F673" s="21"/>
      <c r="G673" s="21"/>
      <c r="H673" s="21"/>
      <c r="I673" s="21"/>
      <c r="J673" s="21"/>
      <c r="K673" s="21"/>
      <c r="L673" s="21"/>
      <c r="M673" s="21"/>
      <c r="N673" s="21"/>
      <c r="O673" s="21"/>
      <c r="P673" s="21"/>
      <c r="Q673" s="21"/>
      <c r="R673" s="21"/>
      <c r="S673" s="21"/>
      <c r="T673" s="19">
        <v>844.0</v>
      </c>
      <c r="U673" s="21"/>
      <c r="V673" s="21"/>
      <c r="W673" s="21"/>
      <c r="X673" s="18">
        <v>9.0</v>
      </c>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c r="BA673" s="21"/>
      <c r="BB673" s="21"/>
      <c r="BC673" s="21"/>
      <c r="BD673" s="21"/>
      <c r="BE673" s="21"/>
      <c r="BF673" s="21"/>
      <c r="BG673" s="21"/>
      <c r="BH673" s="21"/>
      <c r="BI673" s="21"/>
      <c r="BJ673" s="21"/>
      <c r="BK673" s="10"/>
    </row>
    <row r="674">
      <c r="A674" s="21"/>
      <c r="B674" s="21"/>
      <c r="C674" s="21"/>
      <c r="D674" s="21"/>
      <c r="E674" s="32">
        <v>10.0</v>
      </c>
      <c r="F674" s="21"/>
      <c r="G674" s="21"/>
      <c r="H674" s="21"/>
      <c r="I674" s="21"/>
      <c r="J674" s="21"/>
      <c r="K674" s="21"/>
      <c r="L674" s="21"/>
      <c r="M674" s="21"/>
      <c r="N674" s="21"/>
      <c r="O674" s="21"/>
      <c r="P674" s="21"/>
      <c r="Q674" s="21"/>
      <c r="R674" s="21"/>
      <c r="S674" s="21"/>
      <c r="T674" s="19">
        <v>926.0</v>
      </c>
      <c r="U674" s="21"/>
      <c r="V674" s="21"/>
      <c r="W674" s="21"/>
      <c r="X674" s="18">
        <v>10.0</v>
      </c>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c r="BA674" s="21"/>
      <c r="BB674" s="21"/>
      <c r="BC674" s="21"/>
      <c r="BD674" s="21"/>
      <c r="BE674" s="21"/>
      <c r="BF674" s="21"/>
      <c r="BG674" s="21"/>
      <c r="BH674" s="21"/>
      <c r="BI674" s="21"/>
      <c r="BJ674" s="21"/>
      <c r="BK674" s="10"/>
    </row>
    <row r="675">
      <c r="A675" s="21"/>
      <c r="B675" s="21"/>
      <c r="C675" s="21"/>
      <c r="D675" s="21"/>
      <c r="E675" s="32">
        <v>11.0</v>
      </c>
      <c r="F675" s="21"/>
      <c r="G675" s="21"/>
      <c r="H675" s="21"/>
      <c r="I675" s="21"/>
      <c r="J675" s="21"/>
      <c r="K675" s="21"/>
      <c r="L675" s="21"/>
      <c r="M675" s="21"/>
      <c r="N675" s="21"/>
      <c r="O675" s="21"/>
      <c r="P675" s="21"/>
      <c r="Q675" s="21"/>
      <c r="R675" s="21"/>
      <c r="S675" s="21"/>
      <c r="T675" s="19">
        <v>1017.0</v>
      </c>
      <c r="U675" s="21"/>
      <c r="V675" s="21"/>
      <c r="W675" s="21"/>
      <c r="X675" s="18">
        <v>11.0</v>
      </c>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c r="BA675" s="21"/>
      <c r="BB675" s="21"/>
      <c r="BC675" s="21"/>
      <c r="BD675" s="21"/>
      <c r="BE675" s="21"/>
      <c r="BF675" s="21"/>
      <c r="BG675" s="21"/>
      <c r="BH675" s="21"/>
      <c r="BI675" s="21"/>
      <c r="BJ675" s="21"/>
      <c r="BK675" s="10"/>
    </row>
    <row r="676">
      <c r="A676" s="21"/>
      <c r="B676" s="21"/>
      <c r="C676" s="21"/>
      <c r="D676" s="21"/>
      <c r="E676" s="32">
        <v>12.0</v>
      </c>
      <c r="F676" s="21"/>
      <c r="G676" s="21"/>
      <c r="H676" s="21"/>
      <c r="I676" s="21"/>
      <c r="J676" s="21"/>
      <c r="K676" s="21"/>
      <c r="L676" s="21"/>
      <c r="M676" s="21"/>
      <c r="N676" s="21"/>
      <c r="O676" s="21"/>
      <c r="P676" s="21"/>
      <c r="Q676" s="21"/>
      <c r="R676" s="21"/>
      <c r="S676" s="21"/>
      <c r="T676" s="19">
        <v>1118.0</v>
      </c>
      <c r="U676" s="21"/>
      <c r="V676" s="21"/>
      <c r="W676" s="21"/>
      <c r="X676" s="18">
        <v>12.0</v>
      </c>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c r="BA676" s="21"/>
      <c r="BB676" s="21"/>
      <c r="BC676" s="21"/>
      <c r="BD676" s="21"/>
      <c r="BE676" s="21"/>
      <c r="BF676" s="21"/>
      <c r="BG676" s="21"/>
      <c r="BH676" s="21"/>
      <c r="BI676" s="21"/>
      <c r="BJ676" s="21"/>
      <c r="BK676" s="10"/>
    </row>
    <row r="677">
      <c r="A677" s="22"/>
      <c r="B677" s="22"/>
      <c r="C677" s="22"/>
      <c r="D677" s="22"/>
      <c r="E677" s="32">
        <v>13.0</v>
      </c>
      <c r="F677" s="22"/>
      <c r="G677" s="22"/>
      <c r="H677" s="22"/>
      <c r="I677" s="22"/>
      <c r="J677" s="22"/>
      <c r="K677" s="22"/>
      <c r="L677" s="22"/>
      <c r="M677" s="22"/>
      <c r="N677" s="22"/>
      <c r="O677" s="22"/>
      <c r="P677" s="22"/>
      <c r="Q677" s="22"/>
      <c r="R677" s="22"/>
      <c r="S677" s="22"/>
      <c r="T677" s="19">
        <v>1228.0</v>
      </c>
      <c r="U677" s="22"/>
      <c r="V677" s="22"/>
      <c r="W677" s="22"/>
      <c r="X677" s="18">
        <v>13.0</v>
      </c>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10"/>
    </row>
    <row r="678">
      <c r="A678" s="16" t="s">
        <v>256</v>
      </c>
      <c r="B678" s="30" t="s">
        <v>131</v>
      </c>
      <c r="C678" s="16" t="s">
        <v>87</v>
      </c>
      <c r="D678" s="16">
        <v>4.0</v>
      </c>
      <c r="E678" s="18">
        <v>6.0</v>
      </c>
      <c r="F678" s="18" t="s">
        <v>257</v>
      </c>
      <c r="G678" s="16" t="s">
        <v>85</v>
      </c>
      <c r="H678" s="16" t="s">
        <v>85</v>
      </c>
      <c r="I678" s="16" t="s">
        <v>85</v>
      </c>
      <c r="J678" s="16" t="s">
        <v>85</v>
      </c>
      <c r="K678" s="16" t="s">
        <v>85</v>
      </c>
      <c r="L678" s="16" t="s">
        <v>85</v>
      </c>
      <c r="M678" s="16" t="s">
        <v>85</v>
      </c>
      <c r="N678" s="16" t="s">
        <v>85</v>
      </c>
      <c r="O678" s="16" t="s">
        <v>85</v>
      </c>
      <c r="P678" s="16" t="s">
        <v>85</v>
      </c>
      <c r="Q678" s="18" t="s">
        <v>258</v>
      </c>
      <c r="R678" s="16" t="s">
        <v>85</v>
      </c>
      <c r="S678" s="16" t="s">
        <v>85</v>
      </c>
      <c r="T678" s="18">
        <v>524.0</v>
      </c>
      <c r="U678" s="16" t="s">
        <v>85</v>
      </c>
      <c r="V678" s="16" t="s">
        <v>85</v>
      </c>
      <c r="W678" s="16" t="s">
        <v>85</v>
      </c>
      <c r="X678" s="16" t="s">
        <v>85</v>
      </c>
      <c r="Y678" s="16" t="s">
        <v>85</v>
      </c>
      <c r="Z678" s="16" t="s">
        <v>85</v>
      </c>
      <c r="AA678" s="16" t="s">
        <v>85</v>
      </c>
      <c r="AB678" s="16" t="s">
        <v>85</v>
      </c>
      <c r="AC678" s="16" t="s">
        <v>85</v>
      </c>
      <c r="AD678" s="16" t="s">
        <v>85</v>
      </c>
      <c r="AE678" s="16" t="s">
        <v>259</v>
      </c>
      <c r="AF678" s="16" t="s">
        <v>89</v>
      </c>
      <c r="AG678" s="16" t="s">
        <v>95</v>
      </c>
      <c r="AH678" s="16" t="s">
        <v>85</v>
      </c>
      <c r="AI678" s="16">
        <v>4.0</v>
      </c>
      <c r="AJ678" s="16">
        <v>6.5</v>
      </c>
      <c r="AK678" s="16" t="s">
        <v>85</v>
      </c>
      <c r="AL678" s="16" t="s">
        <v>85</v>
      </c>
      <c r="AM678" s="16" t="s">
        <v>85</v>
      </c>
      <c r="AN678" s="16" t="s">
        <v>85</v>
      </c>
      <c r="AO678" s="16" t="s">
        <v>85</v>
      </c>
      <c r="AP678" s="16" t="s">
        <v>85</v>
      </c>
      <c r="AQ678" s="16" t="s">
        <v>85</v>
      </c>
      <c r="AR678" s="16" t="s">
        <v>85</v>
      </c>
      <c r="AS678" s="16" t="s">
        <v>85</v>
      </c>
      <c r="AT678" s="16" t="s">
        <v>85</v>
      </c>
      <c r="AU678" s="16" t="s">
        <v>85</v>
      </c>
      <c r="AV678" s="16" t="s">
        <v>85</v>
      </c>
      <c r="AW678" s="16" t="s">
        <v>85</v>
      </c>
      <c r="AX678" s="16" t="s">
        <v>85</v>
      </c>
      <c r="AY678" s="16" t="s">
        <v>85</v>
      </c>
      <c r="AZ678" s="16" t="s">
        <v>85</v>
      </c>
      <c r="BA678" s="16" t="s">
        <v>85</v>
      </c>
      <c r="BB678" s="16" t="s">
        <v>85</v>
      </c>
      <c r="BC678" s="16" t="s">
        <v>85</v>
      </c>
      <c r="BD678" s="16" t="s">
        <v>85</v>
      </c>
      <c r="BE678" s="16" t="s">
        <v>85</v>
      </c>
      <c r="BF678" s="16" t="s">
        <v>85</v>
      </c>
      <c r="BG678" s="16" t="s">
        <v>85</v>
      </c>
      <c r="BH678" s="16" t="s">
        <v>85</v>
      </c>
      <c r="BI678" s="16" t="s">
        <v>85</v>
      </c>
      <c r="BJ678" s="16" t="s">
        <v>85</v>
      </c>
      <c r="BK678" s="10"/>
    </row>
    <row r="679">
      <c r="A679" s="21"/>
      <c r="B679" s="21"/>
      <c r="C679" s="21"/>
      <c r="D679" s="21"/>
      <c r="E679" s="18">
        <v>7.0</v>
      </c>
      <c r="F679" s="18" t="s">
        <v>260</v>
      </c>
      <c r="G679" s="21"/>
      <c r="H679" s="21"/>
      <c r="I679" s="21"/>
      <c r="J679" s="21"/>
      <c r="K679" s="21"/>
      <c r="L679" s="21"/>
      <c r="M679" s="21"/>
      <c r="N679" s="21"/>
      <c r="O679" s="21"/>
      <c r="P679" s="21"/>
      <c r="Q679" s="18" t="s">
        <v>261</v>
      </c>
      <c r="R679" s="21"/>
      <c r="S679" s="21"/>
      <c r="T679" s="41">
        <v>576.0</v>
      </c>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c r="BA679" s="21"/>
      <c r="BB679" s="21"/>
      <c r="BC679" s="21"/>
      <c r="BD679" s="21"/>
      <c r="BE679" s="21"/>
      <c r="BF679" s="21"/>
      <c r="BG679" s="21"/>
      <c r="BH679" s="21"/>
      <c r="BI679" s="21"/>
      <c r="BJ679" s="21"/>
      <c r="BK679" s="10"/>
    </row>
    <row r="680">
      <c r="A680" s="21"/>
      <c r="B680" s="21"/>
      <c r="C680" s="21"/>
      <c r="D680" s="21"/>
      <c r="E680" s="18">
        <v>8.0</v>
      </c>
      <c r="F680" s="18" t="s">
        <v>262</v>
      </c>
      <c r="G680" s="21"/>
      <c r="H680" s="21"/>
      <c r="I680" s="21"/>
      <c r="J680" s="21"/>
      <c r="K680" s="21"/>
      <c r="L680" s="21"/>
      <c r="M680" s="21"/>
      <c r="N680" s="21"/>
      <c r="O680" s="21"/>
      <c r="P680" s="21"/>
      <c r="Q680" s="18" t="s">
        <v>263</v>
      </c>
      <c r="R680" s="21"/>
      <c r="S680" s="21"/>
      <c r="T680" s="42">
        <v>634.0</v>
      </c>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c r="BA680" s="21"/>
      <c r="BB680" s="21"/>
      <c r="BC680" s="21"/>
      <c r="BD680" s="21"/>
      <c r="BE680" s="21"/>
      <c r="BF680" s="21"/>
      <c r="BG680" s="21"/>
      <c r="BH680" s="21"/>
      <c r="BI680" s="21"/>
      <c r="BJ680" s="21"/>
      <c r="BK680" s="10"/>
    </row>
    <row r="681">
      <c r="A681" s="21"/>
      <c r="B681" s="21"/>
      <c r="C681" s="21"/>
      <c r="D681" s="21"/>
      <c r="E681" s="18">
        <v>9.0</v>
      </c>
      <c r="F681" s="18" t="s">
        <v>264</v>
      </c>
      <c r="G681" s="21"/>
      <c r="H681" s="21"/>
      <c r="I681" s="21"/>
      <c r="J681" s="21"/>
      <c r="K681" s="21"/>
      <c r="L681" s="21"/>
      <c r="M681" s="21"/>
      <c r="N681" s="21"/>
      <c r="O681" s="21"/>
      <c r="P681" s="21"/>
      <c r="Q681" s="18" t="s">
        <v>265</v>
      </c>
      <c r="R681" s="21"/>
      <c r="S681" s="21"/>
      <c r="T681" s="42">
        <v>696.0</v>
      </c>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c r="BA681" s="21"/>
      <c r="BB681" s="21"/>
      <c r="BC681" s="21"/>
      <c r="BD681" s="21"/>
      <c r="BE681" s="21"/>
      <c r="BF681" s="21"/>
      <c r="BG681" s="21"/>
      <c r="BH681" s="21"/>
      <c r="BI681" s="21"/>
      <c r="BJ681" s="21"/>
      <c r="BK681" s="10"/>
    </row>
    <row r="682">
      <c r="A682" s="21"/>
      <c r="B682" s="21"/>
      <c r="C682" s="21"/>
      <c r="D682" s="21"/>
      <c r="E682" s="18">
        <v>10.0</v>
      </c>
      <c r="F682" s="18" t="s">
        <v>266</v>
      </c>
      <c r="G682" s="21"/>
      <c r="H682" s="21"/>
      <c r="I682" s="21"/>
      <c r="J682" s="21"/>
      <c r="K682" s="21"/>
      <c r="L682" s="21"/>
      <c r="M682" s="21"/>
      <c r="N682" s="21"/>
      <c r="O682" s="21"/>
      <c r="P682" s="21"/>
      <c r="Q682" s="18" t="s">
        <v>267</v>
      </c>
      <c r="R682" s="21"/>
      <c r="S682" s="21"/>
      <c r="T682" s="42">
        <v>765.0</v>
      </c>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c r="BA682" s="21"/>
      <c r="BB682" s="21"/>
      <c r="BC682" s="21"/>
      <c r="BD682" s="21"/>
      <c r="BE682" s="21"/>
      <c r="BF682" s="21"/>
      <c r="BG682" s="21"/>
      <c r="BH682" s="21"/>
      <c r="BI682" s="21"/>
      <c r="BJ682" s="21"/>
      <c r="BK682" s="10"/>
    </row>
    <row r="683">
      <c r="A683" s="21"/>
      <c r="B683" s="21"/>
      <c r="C683" s="21"/>
      <c r="D683" s="21"/>
      <c r="E683" s="18">
        <v>11.0</v>
      </c>
      <c r="F683" s="18" t="s">
        <v>268</v>
      </c>
      <c r="G683" s="21"/>
      <c r="H683" s="21"/>
      <c r="I683" s="21"/>
      <c r="J683" s="21"/>
      <c r="K683" s="21"/>
      <c r="L683" s="21"/>
      <c r="M683" s="21"/>
      <c r="N683" s="21"/>
      <c r="O683" s="21"/>
      <c r="P683" s="21"/>
      <c r="Q683" s="18" t="s">
        <v>269</v>
      </c>
      <c r="R683" s="21"/>
      <c r="S683" s="21"/>
      <c r="T683" s="42">
        <v>838.0</v>
      </c>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c r="BA683" s="21"/>
      <c r="BB683" s="21"/>
      <c r="BC683" s="21"/>
      <c r="BD683" s="21"/>
      <c r="BE683" s="21"/>
      <c r="BF683" s="21"/>
      <c r="BG683" s="21"/>
      <c r="BH683" s="21"/>
      <c r="BI683" s="21"/>
      <c r="BJ683" s="21"/>
      <c r="BK683" s="10"/>
    </row>
    <row r="684">
      <c r="A684" s="21"/>
      <c r="B684" s="21"/>
      <c r="C684" s="21"/>
      <c r="D684" s="21"/>
      <c r="E684" s="18">
        <v>12.0</v>
      </c>
      <c r="F684" s="18" t="s">
        <v>270</v>
      </c>
      <c r="G684" s="21"/>
      <c r="H684" s="21"/>
      <c r="I684" s="21"/>
      <c r="J684" s="21"/>
      <c r="K684" s="21"/>
      <c r="L684" s="21"/>
      <c r="M684" s="21"/>
      <c r="N684" s="21"/>
      <c r="O684" s="21"/>
      <c r="P684" s="21"/>
      <c r="Q684" s="18" t="s">
        <v>271</v>
      </c>
      <c r="R684" s="21"/>
      <c r="S684" s="21"/>
      <c r="T684" s="42">
        <v>922.0</v>
      </c>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c r="BA684" s="21"/>
      <c r="BB684" s="21"/>
      <c r="BC684" s="21"/>
      <c r="BD684" s="21"/>
      <c r="BE684" s="21"/>
      <c r="BF684" s="21"/>
      <c r="BG684" s="21"/>
      <c r="BH684" s="21"/>
      <c r="BI684" s="21"/>
      <c r="BJ684" s="21"/>
      <c r="BK684" s="10"/>
    </row>
    <row r="685">
      <c r="A685" s="22"/>
      <c r="B685" s="22"/>
      <c r="C685" s="22"/>
      <c r="D685" s="22"/>
      <c r="E685" s="18">
        <v>13.0</v>
      </c>
      <c r="F685" s="18" t="s">
        <v>272</v>
      </c>
      <c r="G685" s="22"/>
      <c r="H685" s="22"/>
      <c r="I685" s="22"/>
      <c r="J685" s="22"/>
      <c r="K685" s="22"/>
      <c r="L685" s="22"/>
      <c r="M685" s="22"/>
      <c r="N685" s="22"/>
      <c r="O685" s="22"/>
      <c r="P685" s="22"/>
      <c r="Q685" s="18" t="s">
        <v>273</v>
      </c>
      <c r="R685" s="22"/>
      <c r="S685" s="22"/>
      <c r="T685" s="42">
        <v>1011.0</v>
      </c>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10"/>
    </row>
    <row r="686">
      <c r="A686" s="16" t="s">
        <v>274</v>
      </c>
      <c r="B686" s="30" t="s">
        <v>131</v>
      </c>
      <c r="C686" s="16" t="s">
        <v>87</v>
      </c>
      <c r="D686" s="16">
        <v>8.0</v>
      </c>
      <c r="E686" s="18">
        <v>6.0</v>
      </c>
      <c r="F686" s="18">
        <v>195.0</v>
      </c>
      <c r="G686" s="16" t="s">
        <v>85</v>
      </c>
      <c r="H686" s="16" t="s">
        <v>85</v>
      </c>
      <c r="I686" s="16" t="s">
        <v>85</v>
      </c>
      <c r="J686" s="16" t="s">
        <v>85</v>
      </c>
      <c r="K686" s="16" t="s">
        <v>85</v>
      </c>
      <c r="L686" s="18">
        <v>140.0</v>
      </c>
      <c r="M686" s="16" t="s">
        <v>85</v>
      </c>
      <c r="N686" s="16" t="s">
        <v>85</v>
      </c>
      <c r="O686" s="16" t="s">
        <v>85</v>
      </c>
      <c r="P686" s="16" t="s">
        <v>85</v>
      </c>
      <c r="Q686" s="18">
        <v>78.0</v>
      </c>
      <c r="R686" s="16" t="s">
        <v>85</v>
      </c>
      <c r="S686" s="16" t="s">
        <v>85</v>
      </c>
      <c r="T686" s="18">
        <v>3200.0</v>
      </c>
      <c r="U686" s="16" t="s">
        <v>85</v>
      </c>
      <c r="V686" s="16" t="s">
        <v>85</v>
      </c>
      <c r="W686" s="16" t="s">
        <v>275</v>
      </c>
      <c r="X686" s="18">
        <v>6.0</v>
      </c>
      <c r="Y686" s="16" t="s">
        <v>85</v>
      </c>
      <c r="Z686" s="16" t="s">
        <v>85</v>
      </c>
      <c r="AA686" s="16" t="s">
        <v>85</v>
      </c>
      <c r="AB686" s="16" t="s">
        <v>85</v>
      </c>
      <c r="AC686" s="16" t="s">
        <v>85</v>
      </c>
      <c r="AD686" s="16" t="s">
        <v>85</v>
      </c>
      <c r="AE686" s="16" t="s">
        <v>220</v>
      </c>
      <c r="AF686" s="16" t="s">
        <v>109</v>
      </c>
      <c r="AG686" s="16" t="s">
        <v>110</v>
      </c>
      <c r="AH686" s="16" t="s">
        <v>85</v>
      </c>
      <c r="AI686" s="16" t="s">
        <v>104</v>
      </c>
      <c r="AJ686" s="16" t="s">
        <v>85</v>
      </c>
      <c r="AK686" s="16" t="s">
        <v>193</v>
      </c>
      <c r="AL686" s="16" t="s">
        <v>85</v>
      </c>
      <c r="AM686" s="16" t="s">
        <v>85</v>
      </c>
      <c r="AN686" s="16" t="s">
        <v>85</v>
      </c>
      <c r="AO686" s="16" t="s">
        <v>85</v>
      </c>
      <c r="AP686" s="16" t="s">
        <v>85</v>
      </c>
      <c r="AQ686" s="16" t="s">
        <v>85</v>
      </c>
      <c r="AR686" s="16" t="s">
        <v>85</v>
      </c>
      <c r="AS686" s="16" t="s">
        <v>85</v>
      </c>
      <c r="AT686" s="16" t="s">
        <v>85</v>
      </c>
      <c r="AU686" s="16" t="s">
        <v>85</v>
      </c>
      <c r="AV686" s="16" t="s">
        <v>85</v>
      </c>
      <c r="AW686" s="16" t="s">
        <v>85</v>
      </c>
      <c r="AX686" s="16" t="s">
        <v>85</v>
      </c>
      <c r="AY686" s="16" t="s">
        <v>85</v>
      </c>
      <c r="AZ686" s="16" t="s">
        <v>85</v>
      </c>
      <c r="BA686" s="16" t="s">
        <v>85</v>
      </c>
      <c r="BB686" s="16" t="s">
        <v>85</v>
      </c>
      <c r="BC686" s="16" t="s">
        <v>85</v>
      </c>
      <c r="BD686" s="16" t="s">
        <v>85</v>
      </c>
      <c r="BE686" s="16" t="s">
        <v>85</v>
      </c>
      <c r="BF686" s="16" t="s">
        <v>85</v>
      </c>
      <c r="BG686" s="16" t="s">
        <v>85</v>
      </c>
      <c r="BH686" s="16" t="s">
        <v>85</v>
      </c>
      <c r="BI686" s="16" t="s">
        <v>85</v>
      </c>
      <c r="BJ686" s="16" t="s">
        <v>85</v>
      </c>
      <c r="BK686" s="10"/>
    </row>
    <row r="687">
      <c r="A687" s="21"/>
      <c r="B687" s="21"/>
      <c r="C687" s="21"/>
      <c r="D687" s="21"/>
      <c r="E687" s="18">
        <v>7.0</v>
      </c>
      <c r="F687" s="18">
        <v>214.0</v>
      </c>
      <c r="G687" s="21"/>
      <c r="H687" s="21"/>
      <c r="I687" s="21"/>
      <c r="J687" s="21"/>
      <c r="K687" s="21"/>
      <c r="L687" s="19">
        <v>154.0</v>
      </c>
      <c r="M687" s="21"/>
      <c r="N687" s="21"/>
      <c r="O687" s="21"/>
      <c r="P687" s="21"/>
      <c r="Q687" s="18">
        <v>85.0</v>
      </c>
      <c r="R687" s="21"/>
      <c r="S687" s="21"/>
      <c r="T687" s="18">
        <v>3520.0</v>
      </c>
      <c r="U687" s="21"/>
      <c r="V687" s="21"/>
      <c r="W687" s="21"/>
      <c r="X687" s="18">
        <v>7.0</v>
      </c>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c r="BA687" s="21"/>
      <c r="BB687" s="21"/>
      <c r="BC687" s="21"/>
      <c r="BD687" s="21"/>
      <c r="BE687" s="21"/>
      <c r="BF687" s="21"/>
      <c r="BG687" s="21"/>
      <c r="BH687" s="21"/>
      <c r="BI687" s="21"/>
      <c r="BJ687" s="21"/>
      <c r="BK687" s="10"/>
    </row>
    <row r="688">
      <c r="A688" s="21"/>
      <c r="B688" s="21"/>
      <c r="C688" s="21"/>
      <c r="D688" s="21"/>
      <c r="E688" s="32">
        <v>8.0</v>
      </c>
      <c r="F688" s="18">
        <v>235.0</v>
      </c>
      <c r="G688" s="21"/>
      <c r="H688" s="21"/>
      <c r="I688" s="21"/>
      <c r="J688" s="21"/>
      <c r="K688" s="21"/>
      <c r="L688" s="19">
        <v>169.0</v>
      </c>
      <c r="M688" s="21"/>
      <c r="N688" s="21"/>
      <c r="O688" s="21"/>
      <c r="P688" s="21"/>
      <c r="Q688" s="18">
        <v>94.0</v>
      </c>
      <c r="R688" s="21"/>
      <c r="S688" s="21"/>
      <c r="T688" s="18">
        <v>3872.0</v>
      </c>
      <c r="U688" s="21"/>
      <c r="V688" s="21"/>
      <c r="W688" s="21"/>
      <c r="X688" s="18">
        <v>8.0</v>
      </c>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c r="BA688" s="21"/>
      <c r="BB688" s="21"/>
      <c r="BC688" s="21"/>
      <c r="BD688" s="21"/>
      <c r="BE688" s="21"/>
      <c r="BF688" s="21"/>
      <c r="BG688" s="21"/>
      <c r="BH688" s="21"/>
      <c r="BI688" s="21"/>
      <c r="BJ688" s="21"/>
      <c r="BK688" s="10"/>
    </row>
    <row r="689">
      <c r="A689" s="21"/>
      <c r="B689" s="21"/>
      <c r="C689" s="21"/>
      <c r="D689" s="21"/>
      <c r="E689" s="32">
        <v>9.0</v>
      </c>
      <c r="F689" s="18">
        <v>259.0</v>
      </c>
      <c r="G689" s="21"/>
      <c r="H689" s="21"/>
      <c r="I689" s="21"/>
      <c r="J689" s="21"/>
      <c r="K689" s="21"/>
      <c r="L689" s="19">
        <v>186.0</v>
      </c>
      <c r="M689" s="21"/>
      <c r="N689" s="21"/>
      <c r="O689" s="21"/>
      <c r="P689" s="21"/>
      <c r="Q689" s="18">
        <v>103.0</v>
      </c>
      <c r="R689" s="21"/>
      <c r="S689" s="21"/>
      <c r="T689" s="18">
        <v>4256.0</v>
      </c>
      <c r="U689" s="21"/>
      <c r="V689" s="21"/>
      <c r="W689" s="21"/>
      <c r="X689" s="18">
        <v>9.0</v>
      </c>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c r="BA689" s="21"/>
      <c r="BB689" s="21"/>
      <c r="BC689" s="21"/>
      <c r="BD689" s="21"/>
      <c r="BE689" s="21"/>
      <c r="BF689" s="21"/>
      <c r="BG689" s="21"/>
      <c r="BH689" s="21"/>
      <c r="BI689" s="21"/>
      <c r="BJ689" s="21"/>
      <c r="BK689" s="10"/>
    </row>
    <row r="690">
      <c r="A690" s="21"/>
      <c r="B690" s="21"/>
      <c r="C690" s="21"/>
      <c r="D690" s="21"/>
      <c r="E690" s="32">
        <v>10.0</v>
      </c>
      <c r="F690" s="18">
        <v>284.0</v>
      </c>
      <c r="G690" s="21"/>
      <c r="H690" s="21"/>
      <c r="I690" s="21"/>
      <c r="J690" s="21"/>
      <c r="K690" s="21"/>
      <c r="L690" s="19">
        <v>204.0</v>
      </c>
      <c r="M690" s="21"/>
      <c r="N690" s="21"/>
      <c r="O690" s="21"/>
      <c r="P690" s="21"/>
      <c r="Q690" s="18">
        <v>113.0</v>
      </c>
      <c r="R690" s="21"/>
      <c r="S690" s="21"/>
      <c r="T690" s="18">
        <v>4672.0</v>
      </c>
      <c r="U690" s="21"/>
      <c r="V690" s="21"/>
      <c r="W690" s="21"/>
      <c r="X690" s="18">
        <v>10.0</v>
      </c>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c r="BA690" s="21"/>
      <c r="BB690" s="21"/>
      <c r="BC690" s="21"/>
      <c r="BD690" s="21"/>
      <c r="BE690" s="21"/>
      <c r="BF690" s="21"/>
      <c r="BG690" s="21"/>
      <c r="BH690" s="21"/>
      <c r="BI690" s="21"/>
      <c r="BJ690" s="21"/>
      <c r="BK690" s="10"/>
    </row>
    <row r="691">
      <c r="A691" s="21"/>
      <c r="B691" s="21"/>
      <c r="C691" s="21"/>
      <c r="D691" s="21"/>
      <c r="E691" s="32">
        <v>11.0</v>
      </c>
      <c r="F691" s="18">
        <v>312.0</v>
      </c>
      <c r="G691" s="21"/>
      <c r="H691" s="21"/>
      <c r="I691" s="21"/>
      <c r="J691" s="21"/>
      <c r="K691" s="21"/>
      <c r="L691" s="19">
        <v>224.0</v>
      </c>
      <c r="M691" s="21"/>
      <c r="N691" s="21"/>
      <c r="O691" s="21"/>
      <c r="P691" s="21"/>
      <c r="Q691" s="18">
        <v>124.0</v>
      </c>
      <c r="R691" s="21"/>
      <c r="S691" s="21"/>
      <c r="T691" s="18">
        <v>5120.0</v>
      </c>
      <c r="U691" s="21"/>
      <c r="V691" s="21"/>
      <c r="W691" s="21"/>
      <c r="X691" s="18">
        <v>11.0</v>
      </c>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c r="BA691" s="21"/>
      <c r="BB691" s="21"/>
      <c r="BC691" s="21"/>
      <c r="BD691" s="21"/>
      <c r="BE691" s="21"/>
      <c r="BF691" s="21"/>
      <c r="BG691" s="21"/>
      <c r="BH691" s="21"/>
      <c r="BI691" s="21"/>
      <c r="BJ691" s="21"/>
      <c r="BK691" s="10"/>
    </row>
    <row r="692">
      <c r="A692" s="21"/>
      <c r="B692" s="21"/>
      <c r="C692" s="21"/>
      <c r="D692" s="21"/>
      <c r="E692" s="32">
        <v>12.0</v>
      </c>
      <c r="F692" s="18">
        <v>343.0</v>
      </c>
      <c r="G692" s="21"/>
      <c r="H692" s="21"/>
      <c r="I692" s="21"/>
      <c r="J692" s="21"/>
      <c r="K692" s="21"/>
      <c r="L692" s="19">
        <v>246.0</v>
      </c>
      <c r="M692" s="21"/>
      <c r="N692" s="21"/>
      <c r="O692" s="21"/>
      <c r="P692" s="21"/>
      <c r="Q692" s="18">
        <v>137.0</v>
      </c>
      <c r="R692" s="21"/>
      <c r="S692" s="21"/>
      <c r="T692" s="18">
        <v>5632.0</v>
      </c>
      <c r="U692" s="21"/>
      <c r="V692" s="21"/>
      <c r="W692" s="21"/>
      <c r="X692" s="18">
        <v>12.0</v>
      </c>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c r="BA692" s="21"/>
      <c r="BB692" s="21"/>
      <c r="BC692" s="21"/>
      <c r="BD692" s="21"/>
      <c r="BE692" s="21"/>
      <c r="BF692" s="21"/>
      <c r="BG692" s="21"/>
      <c r="BH692" s="21"/>
      <c r="BI692" s="21"/>
      <c r="BJ692" s="21"/>
      <c r="BK692" s="10"/>
    </row>
    <row r="693">
      <c r="A693" s="22"/>
      <c r="B693" s="22"/>
      <c r="C693" s="22"/>
      <c r="D693" s="22"/>
      <c r="E693" s="32">
        <v>13.0</v>
      </c>
      <c r="F693" s="18">
        <v>376.0</v>
      </c>
      <c r="G693" s="22"/>
      <c r="H693" s="22"/>
      <c r="I693" s="22"/>
      <c r="J693" s="22"/>
      <c r="K693" s="22"/>
      <c r="L693" s="19">
        <v>270.0</v>
      </c>
      <c r="M693" s="22"/>
      <c r="N693" s="22"/>
      <c r="O693" s="22"/>
      <c r="P693" s="22"/>
      <c r="Q693" s="18">
        <v>150.0</v>
      </c>
      <c r="R693" s="22"/>
      <c r="S693" s="22"/>
      <c r="T693" s="18">
        <v>6176.0</v>
      </c>
      <c r="U693" s="22"/>
      <c r="V693" s="22"/>
      <c r="W693" s="22"/>
      <c r="X693" s="18">
        <v>13.0</v>
      </c>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10"/>
    </row>
    <row r="694">
      <c r="A694" s="16" t="s">
        <v>276</v>
      </c>
      <c r="B694" s="35" t="s">
        <v>181</v>
      </c>
      <c r="C694" s="16" t="s">
        <v>87</v>
      </c>
      <c r="D694" s="16">
        <v>5.0</v>
      </c>
      <c r="E694" s="18">
        <v>9.0</v>
      </c>
      <c r="F694" s="18">
        <v>220.0</v>
      </c>
      <c r="G694" s="16" t="s">
        <v>85</v>
      </c>
      <c r="H694" s="43" t="s">
        <v>85</v>
      </c>
      <c r="I694" s="18">
        <v>440.0</v>
      </c>
      <c r="J694" s="16" t="s">
        <v>85</v>
      </c>
      <c r="K694" s="16" t="s">
        <v>85</v>
      </c>
      <c r="L694" s="16" t="s">
        <v>85</v>
      </c>
      <c r="M694" s="16" t="s">
        <v>85</v>
      </c>
      <c r="N694" s="16" t="s">
        <v>85</v>
      </c>
      <c r="O694" s="16" t="s">
        <v>85</v>
      </c>
      <c r="P694" s="16" t="s">
        <v>85</v>
      </c>
      <c r="Q694" s="18">
        <v>122.0</v>
      </c>
      <c r="R694" s="16" t="s">
        <v>85</v>
      </c>
      <c r="S694" s="16" t="s">
        <v>85</v>
      </c>
      <c r="T694" s="18">
        <v>1461.0</v>
      </c>
      <c r="U694" s="16" t="s">
        <v>85</v>
      </c>
      <c r="V694" s="16" t="s">
        <v>85</v>
      </c>
      <c r="W694" s="16" t="s">
        <v>277</v>
      </c>
      <c r="X694" s="18">
        <v>9.0</v>
      </c>
      <c r="Y694" s="16" t="s">
        <v>85</v>
      </c>
      <c r="Z694" s="16" t="s">
        <v>85</v>
      </c>
      <c r="AA694" s="16" t="s">
        <v>85</v>
      </c>
      <c r="AB694" s="16" t="s">
        <v>85</v>
      </c>
      <c r="AC694" s="16" t="s">
        <v>85</v>
      </c>
      <c r="AD694" s="16" t="s">
        <v>85</v>
      </c>
      <c r="AE694" s="16" t="s">
        <v>124</v>
      </c>
      <c r="AF694" s="16" t="s">
        <v>109</v>
      </c>
      <c r="AG694" s="16" t="s">
        <v>95</v>
      </c>
      <c r="AH694" s="16" t="s">
        <v>85</v>
      </c>
      <c r="AI694" s="16" t="s">
        <v>104</v>
      </c>
      <c r="AJ694" s="16" t="s">
        <v>85</v>
      </c>
      <c r="AK694" s="16" t="s">
        <v>85</v>
      </c>
      <c r="AL694" s="16" t="s">
        <v>85</v>
      </c>
      <c r="AM694" s="16" t="s">
        <v>85</v>
      </c>
      <c r="AN694" s="16" t="s">
        <v>120</v>
      </c>
      <c r="AO694" s="16" t="s">
        <v>85</v>
      </c>
      <c r="AP694" s="16" t="s">
        <v>85</v>
      </c>
      <c r="AQ694" s="16" t="s">
        <v>85</v>
      </c>
      <c r="AR694" s="16" t="s">
        <v>85</v>
      </c>
      <c r="AS694" s="16" t="s">
        <v>85</v>
      </c>
      <c r="AT694" s="16" t="s">
        <v>85</v>
      </c>
      <c r="AU694" s="16" t="s">
        <v>85</v>
      </c>
      <c r="AV694" s="16" t="s">
        <v>85</v>
      </c>
      <c r="AW694" s="16" t="s">
        <v>85</v>
      </c>
      <c r="AX694" s="16" t="s">
        <v>85</v>
      </c>
      <c r="AY694" s="16" t="s">
        <v>85</v>
      </c>
      <c r="AZ694" s="16" t="s">
        <v>85</v>
      </c>
      <c r="BA694" s="16" t="s">
        <v>85</v>
      </c>
      <c r="BB694" s="16" t="s">
        <v>85</v>
      </c>
      <c r="BC694" s="16" t="s">
        <v>85</v>
      </c>
      <c r="BD694" s="16" t="s">
        <v>85</v>
      </c>
      <c r="BE694" s="16" t="s">
        <v>85</v>
      </c>
      <c r="BF694" s="16" t="s">
        <v>85</v>
      </c>
      <c r="BG694" s="16" t="s">
        <v>85</v>
      </c>
      <c r="BH694" s="16" t="s">
        <v>85</v>
      </c>
      <c r="BI694" s="16" t="s">
        <v>85</v>
      </c>
      <c r="BJ694" s="16" t="s">
        <v>85</v>
      </c>
      <c r="BK694" s="10"/>
    </row>
    <row r="695">
      <c r="A695" s="21"/>
      <c r="B695" s="21"/>
      <c r="C695" s="21"/>
      <c r="D695" s="21"/>
      <c r="E695" s="18">
        <v>10.0</v>
      </c>
      <c r="F695" s="19">
        <v>242.0</v>
      </c>
      <c r="G695" s="21"/>
      <c r="H695" s="21"/>
      <c r="I695" s="19">
        <v>484.0</v>
      </c>
      <c r="J695" s="21"/>
      <c r="K695" s="21"/>
      <c r="L695" s="21"/>
      <c r="M695" s="21"/>
      <c r="N695" s="21"/>
      <c r="O695" s="21"/>
      <c r="P695" s="21"/>
      <c r="Q695" s="19">
        <v>134.0</v>
      </c>
      <c r="R695" s="21"/>
      <c r="S695" s="21"/>
      <c r="T695" s="19">
        <v>1607.0</v>
      </c>
      <c r="U695" s="21"/>
      <c r="V695" s="21"/>
      <c r="W695" s="21"/>
      <c r="X695" s="18">
        <v>10.0</v>
      </c>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c r="BA695" s="21"/>
      <c r="BB695" s="21"/>
      <c r="BC695" s="21"/>
      <c r="BD695" s="21"/>
      <c r="BE695" s="21"/>
      <c r="BF695" s="21"/>
      <c r="BG695" s="21"/>
      <c r="BH695" s="21"/>
      <c r="BI695" s="21"/>
      <c r="BJ695" s="21"/>
      <c r="BK695" s="10"/>
    </row>
    <row r="696">
      <c r="A696" s="21"/>
      <c r="B696" s="21"/>
      <c r="C696" s="21"/>
      <c r="D696" s="21"/>
      <c r="E696" s="18">
        <v>11.0</v>
      </c>
      <c r="F696" s="19">
        <v>266.0</v>
      </c>
      <c r="G696" s="21"/>
      <c r="H696" s="21"/>
      <c r="I696" s="19">
        <v>532.0</v>
      </c>
      <c r="J696" s="21"/>
      <c r="K696" s="21"/>
      <c r="L696" s="21"/>
      <c r="M696" s="21"/>
      <c r="N696" s="21"/>
      <c r="O696" s="21"/>
      <c r="P696" s="21"/>
      <c r="Q696" s="19">
        <v>147.0</v>
      </c>
      <c r="R696" s="21"/>
      <c r="S696" s="21"/>
      <c r="T696" s="19">
        <v>1767.0</v>
      </c>
      <c r="U696" s="21"/>
      <c r="V696" s="21"/>
      <c r="W696" s="21"/>
      <c r="X696" s="18">
        <v>11.0</v>
      </c>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c r="BA696" s="21"/>
      <c r="BB696" s="21"/>
      <c r="BC696" s="21"/>
      <c r="BD696" s="21"/>
      <c r="BE696" s="21"/>
      <c r="BF696" s="21"/>
      <c r="BG696" s="21"/>
      <c r="BH696" s="21"/>
      <c r="BI696" s="21"/>
      <c r="BJ696" s="21"/>
      <c r="BK696" s="10"/>
    </row>
    <row r="697">
      <c r="A697" s="21"/>
      <c r="B697" s="21"/>
      <c r="C697" s="21"/>
      <c r="D697" s="21"/>
      <c r="E697" s="18">
        <v>12.0</v>
      </c>
      <c r="F697" s="19">
        <v>292.0</v>
      </c>
      <c r="G697" s="21"/>
      <c r="H697" s="21"/>
      <c r="I697" s="19">
        <v>585.0</v>
      </c>
      <c r="J697" s="21"/>
      <c r="K697" s="21"/>
      <c r="L697" s="21"/>
      <c r="M697" s="21"/>
      <c r="N697" s="21"/>
      <c r="O697" s="21"/>
      <c r="P697" s="21"/>
      <c r="Q697" s="19">
        <v>162.0</v>
      </c>
      <c r="R697" s="21"/>
      <c r="S697" s="21"/>
      <c r="T697" s="19">
        <v>1943.0</v>
      </c>
      <c r="U697" s="21"/>
      <c r="V697" s="21"/>
      <c r="W697" s="21"/>
      <c r="X697" s="18">
        <v>12.0</v>
      </c>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c r="BA697" s="21"/>
      <c r="BB697" s="21"/>
      <c r="BC697" s="21"/>
      <c r="BD697" s="21"/>
      <c r="BE697" s="21"/>
      <c r="BF697" s="21"/>
      <c r="BG697" s="21"/>
      <c r="BH697" s="21"/>
      <c r="BI697" s="21"/>
      <c r="BJ697" s="21"/>
      <c r="BK697" s="10"/>
    </row>
    <row r="698">
      <c r="A698" s="22"/>
      <c r="B698" s="22"/>
      <c r="C698" s="22"/>
      <c r="D698" s="22"/>
      <c r="E698" s="18">
        <v>13.0</v>
      </c>
      <c r="F698" s="19">
        <v>321.0</v>
      </c>
      <c r="G698" s="22"/>
      <c r="H698" s="22"/>
      <c r="I698" s="19">
        <v>642.0</v>
      </c>
      <c r="J698" s="22"/>
      <c r="K698" s="22"/>
      <c r="L698" s="22"/>
      <c r="M698" s="22"/>
      <c r="N698" s="22"/>
      <c r="O698" s="22"/>
      <c r="P698" s="22"/>
      <c r="Q698" s="19">
        <v>178.0</v>
      </c>
      <c r="R698" s="22"/>
      <c r="S698" s="22"/>
      <c r="T698" s="19">
        <v>2133.0</v>
      </c>
      <c r="U698" s="22"/>
      <c r="V698" s="22"/>
      <c r="W698" s="22"/>
      <c r="X698" s="18">
        <v>13.0</v>
      </c>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10"/>
    </row>
    <row r="699">
      <c r="A699" s="16" t="s">
        <v>278</v>
      </c>
      <c r="B699" s="35" t="s">
        <v>181</v>
      </c>
      <c r="C699" s="16" t="s">
        <v>87</v>
      </c>
      <c r="D699" s="16">
        <v>7.0</v>
      </c>
      <c r="E699" s="18">
        <v>9.0</v>
      </c>
      <c r="F699" s="18">
        <v>45.0</v>
      </c>
      <c r="G699" s="16" t="s">
        <v>85</v>
      </c>
      <c r="H699" s="16" t="s">
        <v>85</v>
      </c>
      <c r="I699" s="16" t="s">
        <v>85</v>
      </c>
      <c r="J699" s="16" t="s">
        <v>85</v>
      </c>
      <c r="K699" s="16" t="s">
        <v>85</v>
      </c>
      <c r="L699" s="16" t="s">
        <v>85</v>
      </c>
      <c r="M699" s="16" t="s">
        <v>85</v>
      </c>
      <c r="N699" s="16" t="s">
        <v>85</v>
      </c>
      <c r="O699" s="16" t="s">
        <v>85</v>
      </c>
      <c r="P699" s="16" t="s">
        <v>85</v>
      </c>
      <c r="Q699" s="18">
        <v>34.0</v>
      </c>
      <c r="R699" s="16" t="s">
        <v>85</v>
      </c>
      <c r="S699" s="16" t="s">
        <v>85</v>
      </c>
      <c r="T699" s="18">
        <v>3150.0</v>
      </c>
      <c r="U699" s="16" t="s">
        <v>85</v>
      </c>
      <c r="V699" s="16" t="s">
        <v>85</v>
      </c>
      <c r="W699" s="16" t="s">
        <v>279</v>
      </c>
      <c r="X699" s="18">
        <v>9.0</v>
      </c>
      <c r="Y699" s="16" t="s">
        <v>85</v>
      </c>
      <c r="Z699" s="16" t="s">
        <v>85</v>
      </c>
      <c r="AA699" s="16" t="s">
        <v>85</v>
      </c>
      <c r="AB699" s="16" t="s">
        <v>85</v>
      </c>
      <c r="AC699" s="16" t="s">
        <v>85</v>
      </c>
      <c r="AD699" s="16" t="s">
        <v>85</v>
      </c>
      <c r="AE699" s="16" t="s">
        <v>187</v>
      </c>
      <c r="AF699" s="16" t="s">
        <v>109</v>
      </c>
      <c r="AG699" s="16" t="s">
        <v>110</v>
      </c>
      <c r="AH699" s="16" t="s">
        <v>85</v>
      </c>
      <c r="AI699" s="16">
        <v>3.5</v>
      </c>
      <c r="AJ699" s="16" t="s">
        <v>85</v>
      </c>
      <c r="AK699" s="16" t="s">
        <v>85</v>
      </c>
      <c r="AL699" s="16" t="s">
        <v>85</v>
      </c>
      <c r="AM699" s="16" t="s">
        <v>85</v>
      </c>
      <c r="AN699" s="16" t="s">
        <v>85</v>
      </c>
      <c r="AO699" s="16" t="s">
        <v>85</v>
      </c>
      <c r="AP699" s="16" t="s">
        <v>85</v>
      </c>
      <c r="AQ699" s="16" t="s">
        <v>85</v>
      </c>
      <c r="AR699" s="16" t="s">
        <v>85</v>
      </c>
      <c r="AS699" s="16" t="s">
        <v>85</v>
      </c>
      <c r="AT699" s="16" t="s">
        <v>85</v>
      </c>
      <c r="AU699" s="16" t="s">
        <v>85</v>
      </c>
      <c r="AV699" s="16" t="s">
        <v>85</v>
      </c>
      <c r="AW699" s="16" t="s">
        <v>85</v>
      </c>
      <c r="AX699" s="16" t="s">
        <v>85</v>
      </c>
      <c r="AY699" s="16" t="s">
        <v>85</v>
      </c>
      <c r="AZ699" s="16" t="s">
        <v>85</v>
      </c>
      <c r="BA699" s="16" t="s">
        <v>85</v>
      </c>
      <c r="BB699" s="16" t="s">
        <v>85</v>
      </c>
      <c r="BC699" s="16" t="s">
        <v>85</v>
      </c>
      <c r="BD699" s="16" t="s">
        <v>85</v>
      </c>
      <c r="BE699" s="16" t="s">
        <v>85</v>
      </c>
      <c r="BF699" s="16" t="s">
        <v>85</v>
      </c>
      <c r="BG699" s="16" t="s">
        <v>85</v>
      </c>
      <c r="BH699" s="16" t="s">
        <v>85</v>
      </c>
      <c r="BI699" s="16" t="s">
        <v>85</v>
      </c>
      <c r="BJ699" s="16" t="s">
        <v>85</v>
      </c>
      <c r="BK699" s="10"/>
    </row>
    <row r="700">
      <c r="A700" s="21"/>
      <c r="B700" s="21"/>
      <c r="C700" s="21"/>
      <c r="D700" s="21"/>
      <c r="E700" s="18">
        <v>10.0</v>
      </c>
      <c r="F700" s="18">
        <v>49.0</v>
      </c>
      <c r="G700" s="21"/>
      <c r="H700" s="21"/>
      <c r="I700" s="21"/>
      <c r="J700" s="21"/>
      <c r="K700" s="21"/>
      <c r="L700" s="21"/>
      <c r="M700" s="21"/>
      <c r="N700" s="21"/>
      <c r="O700" s="21"/>
      <c r="P700" s="21"/>
      <c r="Q700" s="18">
        <v>37.0</v>
      </c>
      <c r="R700" s="21"/>
      <c r="S700" s="21"/>
      <c r="T700" s="19">
        <v>3465.0</v>
      </c>
      <c r="U700" s="21"/>
      <c r="V700" s="21"/>
      <c r="W700" s="21"/>
      <c r="X700" s="18">
        <v>10.0</v>
      </c>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c r="BA700" s="21"/>
      <c r="BB700" s="21"/>
      <c r="BC700" s="21"/>
      <c r="BD700" s="21"/>
      <c r="BE700" s="21"/>
      <c r="BF700" s="21"/>
      <c r="BG700" s="21"/>
      <c r="BH700" s="21"/>
      <c r="BI700" s="21"/>
      <c r="BJ700" s="21"/>
      <c r="BK700" s="10"/>
    </row>
    <row r="701">
      <c r="A701" s="21"/>
      <c r="B701" s="21"/>
      <c r="C701" s="21"/>
      <c r="D701" s="21"/>
      <c r="E701" s="18">
        <v>11.0</v>
      </c>
      <c r="F701" s="18">
        <v>54.0</v>
      </c>
      <c r="G701" s="21"/>
      <c r="H701" s="21"/>
      <c r="I701" s="21"/>
      <c r="J701" s="21"/>
      <c r="K701" s="21"/>
      <c r="L701" s="21"/>
      <c r="M701" s="21"/>
      <c r="N701" s="21"/>
      <c r="O701" s="21"/>
      <c r="P701" s="21"/>
      <c r="Q701" s="18">
        <v>41.0</v>
      </c>
      <c r="R701" s="21"/>
      <c r="S701" s="21"/>
      <c r="T701" s="19">
        <v>3811.0</v>
      </c>
      <c r="U701" s="21"/>
      <c r="V701" s="21"/>
      <c r="W701" s="21"/>
      <c r="X701" s="18">
        <v>11.0</v>
      </c>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c r="BA701" s="21"/>
      <c r="BB701" s="21"/>
      <c r="BC701" s="21"/>
      <c r="BD701" s="21"/>
      <c r="BE701" s="21"/>
      <c r="BF701" s="21"/>
      <c r="BG701" s="21"/>
      <c r="BH701" s="21"/>
      <c r="BI701" s="21"/>
      <c r="BJ701" s="21"/>
      <c r="BK701" s="10"/>
    </row>
    <row r="702">
      <c r="A702" s="21"/>
      <c r="B702" s="21"/>
      <c r="C702" s="21"/>
      <c r="D702" s="21"/>
      <c r="E702" s="18">
        <v>12.0</v>
      </c>
      <c r="F702" s="18">
        <v>59.0</v>
      </c>
      <c r="G702" s="21"/>
      <c r="H702" s="21"/>
      <c r="I702" s="21"/>
      <c r="J702" s="21"/>
      <c r="K702" s="21"/>
      <c r="L702" s="21"/>
      <c r="M702" s="21"/>
      <c r="N702" s="21"/>
      <c r="O702" s="21"/>
      <c r="P702" s="21"/>
      <c r="Q702" s="18">
        <v>45.0</v>
      </c>
      <c r="R702" s="21"/>
      <c r="S702" s="21"/>
      <c r="T702" s="19">
        <v>4189.0</v>
      </c>
      <c r="U702" s="21"/>
      <c r="V702" s="21"/>
      <c r="W702" s="21"/>
      <c r="X702" s="18">
        <v>12.0</v>
      </c>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c r="BA702" s="21"/>
      <c r="BB702" s="21"/>
      <c r="BC702" s="21"/>
      <c r="BD702" s="21"/>
      <c r="BE702" s="21"/>
      <c r="BF702" s="21"/>
      <c r="BG702" s="21"/>
      <c r="BH702" s="21"/>
      <c r="BI702" s="21"/>
      <c r="BJ702" s="21"/>
      <c r="BK702" s="10"/>
    </row>
    <row r="703">
      <c r="A703" s="22"/>
      <c r="B703" s="22"/>
      <c r="C703" s="22"/>
      <c r="D703" s="22"/>
      <c r="E703" s="18">
        <v>13.0</v>
      </c>
      <c r="F703" s="18">
        <v>65.0</v>
      </c>
      <c r="G703" s="22"/>
      <c r="H703" s="22"/>
      <c r="I703" s="22"/>
      <c r="J703" s="22"/>
      <c r="K703" s="22"/>
      <c r="L703" s="22"/>
      <c r="M703" s="22"/>
      <c r="N703" s="22"/>
      <c r="O703" s="22"/>
      <c r="P703" s="22"/>
      <c r="Q703" s="18">
        <v>50.0</v>
      </c>
      <c r="R703" s="22"/>
      <c r="S703" s="22"/>
      <c r="T703" s="19">
        <v>4599.0</v>
      </c>
      <c r="U703" s="22"/>
      <c r="V703" s="22"/>
      <c r="W703" s="22"/>
      <c r="X703" s="18">
        <v>13.0</v>
      </c>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10"/>
    </row>
    <row r="704">
      <c r="A704" s="12" t="s">
        <v>280</v>
      </c>
      <c r="B704" s="13" t="s">
        <v>281</v>
      </c>
      <c r="C704" s="14"/>
      <c r="D704" s="14"/>
      <c r="E704" s="15"/>
      <c r="F704" s="28"/>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5"/>
      <c r="BK704" s="10"/>
    </row>
    <row r="705">
      <c r="A705" s="16" t="s">
        <v>282</v>
      </c>
      <c r="B705" s="17" t="s">
        <v>83</v>
      </c>
      <c r="C705" s="16" t="s">
        <v>117</v>
      </c>
      <c r="D705" s="16">
        <v>4.0</v>
      </c>
      <c r="E705" s="18">
        <v>1.0</v>
      </c>
      <c r="F705" s="18">
        <v>90.0</v>
      </c>
      <c r="G705" s="16" t="s">
        <v>85</v>
      </c>
      <c r="H705" s="16" t="s">
        <v>85</v>
      </c>
      <c r="I705" s="16" t="s">
        <v>85</v>
      </c>
      <c r="J705" s="16" t="s">
        <v>85</v>
      </c>
      <c r="K705" s="16" t="s">
        <v>85</v>
      </c>
      <c r="L705" s="16" t="s">
        <v>85</v>
      </c>
      <c r="M705" s="16" t="s">
        <v>85</v>
      </c>
      <c r="N705" s="16" t="s">
        <v>85</v>
      </c>
      <c r="O705" s="16" t="s">
        <v>85</v>
      </c>
      <c r="P705" s="16" t="s">
        <v>85</v>
      </c>
      <c r="Q705" s="18">
        <v>81.0</v>
      </c>
      <c r="R705" s="16" t="s">
        <v>85</v>
      </c>
      <c r="S705" s="16" t="s">
        <v>85</v>
      </c>
      <c r="T705" s="18">
        <v>450.0</v>
      </c>
      <c r="U705" s="16" t="s">
        <v>85</v>
      </c>
      <c r="V705" s="16" t="s">
        <v>85</v>
      </c>
      <c r="W705" s="16" t="s">
        <v>85</v>
      </c>
      <c r="X705" s="16" t="s">
        <v>85</v>
      </c>
      <c r="Y705" s="16" t="s">
        <v>85</v>
      </c>
      <c r="Z705" s="16" t="s">
        <v>85</v>
      </c>
      <c r="AA705" s="16" t="s">
        <v>85</v>
      </c>
      <c r="AB705" s="16" t="s">
        <v>85</v>
      </c>
      <c r="AC705" s="16" t="s">
        <v>85</v>
      </c>
      <c r="AD705" s="16" t="s">
        <v>85</v>
      </c>
      <c r="AE705" s="16" t="s">
        <v>106</v>
      </c>
      <c r="AF705" s="16" t="s">
        <v>89</v>
      </c>
      <c r="AG705" s="16" t="s">
        <v>85</v>
      </c>
      <c r="AH705" s="16" t="s">
        <v>85</v>
      </c>
      <c r="AI705" s="16">
        <v>5.5</v>
      </c>
      <c r="AJ705" s="16" t="s">
        <v>85</v>
      </c>
      <c r="AK705" s="16" t="s">
        <v>85</v>
      </c>
      <c r="AL705" s="16" t="s">
        <v>283</v>
      </c>
      <c r="AM705" s="16" t="s">
        <v>85</v>
      </c>
      <c r="AN705" s="16" t="s">
        <v>85</v>
      </c>
      <c r="AO705" s="16" t="s">
        <v>85</v>
      </c>
      <c r="AP705" s="16" t="s">
        <v>85</v>
      </c>
      <c r="AQ705" s="16" t="s">
        <v>85</v>
      </c>
      <c r="AR705" s="16" t="s">
        <v>85</v>
      </c>
      <c r="AS705" s="16" t="s">
        <v>85</v>
      </c>
      <c r="AT705" s="16" t="s">
        <v>85</v>
      </c>
      <c r="AU705" s="16" t="s">
        <v>85</v>
      </c>
      <c r="AV705" s="16" t="s">
        <v>85</v>
      </c>
      <c r="AW705" s="16" t="s">
        <v>85</v>
      </c>
      <c r="AX705" s="16" t="s">
        <v>85</v>
      </c>
      <c r="AY705" s="16" t="s">
        <v>85</v>
      </c>
      <c r="AZ705" s="16" t="s">
        <v>85</v>
      </c>
      <c r="BA705" s="16" t="s">
        <v>85</v>
      </c>
      <c r="BB705" s="16" t="s">
        <v>85</v>
      </c>
      <c r="BC705" s="16" t="s">
        <v>85</v>
      </c>
      <c r="BD705" s="16" t="s">
        <v>85</v>
      </c>
      <c r="BE705" s="16" t="s">
        <v>85</v>
      </c>
      <c r="BF705" s="16" t="s">
        <v>85</v>
      </c>
      <c r="BG705" s="16" t="s">
        <v>85</v>
      </c>
      <c r="BH705" s="16" t="s">
        <v>85</v>
      </c>
      <c r="BI705" s="16" t="s">
        <v>85</v>
      </c>
      <c r="BJ705" s="16" t="s">
        <v>85</v>
      </c>
      <c r="BK705" s="10"/>
    </row>
    <row r="706">
      <c r="A706" s="21"/>
      <c r="B706" s="21"/>
      <c r="C706" s="21"/>
      <c r="D706" s="21"/>
      <c r="E706" s="18">
        <v>2.0</v>
      </c>
      <c r="F706" s="18">
        <v>99.0</v>
      </c>
      <c r="G706" s="21"/>
      <c r="H706" s="21"/>
      <c r="I706" s="21"/>
      <c r="J706" s="21"/>
      <c r="K706" s="21"/>
      <c r="L706" s="21"/>
      <c r="M706" s="21"/>
      <c r="N706" s="21"/>
      <c r="O706" s="21"/>
      <c r="P706" s="21"/>
      <c r="Q706" s="18">
        <v>90.0</v>
      </c>
      <c r="R706" s="21"/>
      <c r="S706" s="21"/>
      <c r="T706" s="18">
        <v>495.0</v>
      </c>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c r="BA706" s="21"/>
      <c r="BB706" s="21"/>
      <c r="BC706" s="21"/>
      <c r="BD706" s="21"/>
      <c r="BE706" s="21"/>
      <c r="BF706" s="21"/>
      <c r="BG706" s="21"/>
      <c r="BH706" s="21"/>
      <c r="BI706" s="21"/>
      <c r="BJ706" s="21"/>
      <c r="BK706" s="10"/>
    </row>
    <row r="707">
      <c r="A707" s="21"/>
      <c r="B707" s="21"/>
      <c r="C707" s="21"/>
      <c r="D707" s="21"/>
      <c r="E707" s="18">
        <v>3.0</v>
      </c>
      <c r="F707" s="18">
        <v>108.0</v>
      </c>
      <c r="G707" s="21"/>
      <c r="H707" s="21"/>
      <c r="I707" s="21"/>
      <c r="J707" s="21"/>
      <c r="K707" s="21"/>
      <c r="L707" s="21"/>
      <c r="M707" s="21"/>
      <c r="N707" s="21"/>
      <c r="O707" s="21"/>
      <c r="P707" s="21"/>
      <c r="Q707" s="18">
        <v>98.0</v>
      </c>
      <c r="R707" s="21"/>
      <c r="S707" s="21"/>
      <c r="T707" s="18">
        <v>544.0</v>
      </c>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c r="BA707" s="21"/>
      <c r="BB707" s="21"/>
      <c r="BC707" s="21"/>
      <c r="BD707" s="21"/>
      <c r="BE707" s="21"/>
      <c r="BF707" s="21"/>
      <c r="BG707" s="21"/>
      <c r="BH707" s="21"/>
      <c r="BI707" s="21"/>
      <c r="BJ707" s="21"/>
      <c r="BK707" s="10"/>
    </row>
    <row r="708">
      <c r="A708" s="21"/>
      <c r="B708" s="21"/>
      <c r="C708" s="21"/>
      <c r="D708" s="21"/>
      <c r="E708" s="18">
        <v>4.0</v>
      </c>
      <c r="F708" s="18">
        <v>119.0</v>
      </c>
      <c r="G708" s="21"/>
      <c r="H708" s="21"/>
      <c r="I708" s="21"/>
      <c r="J708" s="21"/>
      <c r="K708" s="21"/>
      <c r="L708" s="21"/>
      <c r="M708" s="21"/>
      <c r="N708" s="21"/>
      <c r="O708" s="21"/>
      <c r="P708" s="21"/>
      <c r="Q708" s="18">
        <v>108.0</v>
      </c>
      <c r="R708" s="21"/>
      <c r="S708" s="21"/>
      <c r="T708" s="18">
        <v>598.0</v>
      </c>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c r="BA708" s="21"/>
      <c r="BB708" s="21"/>
      <c r="BC708" s="21"/>
      <c r="BD708" s="21"/>
      <c r="BE708" s="21"/>
      <c r="BF708" s="21"/>
      <c r="BG708" s="21"/>
      <c r="BH708" s="21"/>
      <c r="BI708" s="21"/>
      <c r="BJ708" s="21"/>
      <c r="BK708" s="10"/>
    </row>
    <row r="709">
      <c r="A709" s="21"/>
      <c r="B709" s="21"/>
      <c r="C709" s="21"/>
      <c r="D709" s="21"/>
      <c r="E709" s="18">
        <v>5.0</v>
      </c>
      <c r="F709" s="18">
        <v>131.0</v>
      </c>
      <c r="G709" s="21"/>
      <c r="H709" s="21"/>
      <c r="I709" s="21"/>
      <c r="J709" s="21"/>
      <c r="K709" s="21"/>
      <c r="L709" s="21"/>
      <c r="M709" s="21"/>
      <c r="N709" s="21"/>
      <c r="O709" s="21"/>
      <c r="P709" s="21"/>
      <c r="Q709" s="18">
        <v>119.0</v>
      </c>
      <c r="R709" s="21"/>
      <c r="S709" s="21"/>
      <c r="T709" s="18">
        <v>657.0</v>
      </c>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c r="BA709" s="21"/>
      <c r="BB709" s="21"/>
      <c r="BC709" s="21"/>
      <c r="BD709" s="21"/>
      <c r="BE709" s="21"/>
      <c r="BF709" s="21"/>
      <c r="BG709" s="21"/>
      <c r="BH709" s="21"/>
      <c r="BI709" s="21"/>
      <c r="BJ709" s="21"/>
      <c r="BK709" s="10"/>
    </row>
    <row r="710">
      <c r="A710" s="21"/>
      <c r="B710" s="21"/>
      <c r="C710" s="21"/>
      <c r="D710" s="21"/>
      <c r="E710" s="18">
        <v>6.0</v>
      </c>
      <c r="F710" s="18">
        <v>144.0</v>
      </c>
      <c r="G710" s="21"/>
      <c r="H710" s="21"/>
      <c r="I710" s="21"/>
      <c r="J710" s="21"/>
      <c r="K710" s="21"/>
      <c r="L710" s="21"/>
      <c r="M710" s="21"/>
      <c r="N710" s="21"/>
      <c r="O710" s="21"/>
      <c r="P710" s="21"/>
      <c r="Q710" s="18">
        <v>130.0</v>
      </c>
      <c r="R710" s="21"/>
      <c r="S710" s="21"/>
      <c r="T710" s="18">
        <v>720.0</v>
      </c>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c r="BA710" s="21"/>
      <c r="BB710" s="21"/>
      <c r="BC710" s="21"/>
      <c r="BD710" s="21"/>
      <c r="BE710" s="21"/>
      <c r="BF710" s="21"/>
      <c r="BG710" s="21"/>
      <c r="BH710" s="21"/>
      <c r="BI710" s="21"/>
      <c r="BJ710" s="21"/>
      <c r="BK710" s="10"/>
    </row>
    <row r="711">
      <c r="A711" s="21"/>
      <c r="B711" s="21"/>
      <c r="C711" s="21"/>
      <c r="D711" s="21"/>
      <c r="E711" s="18">
        <v>7.0</v>
      </c>
      <c r="F711" s="18">
        <v>158.0</v>
      </c>
      <c r="G711" s="21"/>
      <c r="H711" s="21"/>
      <c r="I711" s="21"/>
      <c r="J711" s="21"/>
      <c r="K711" s="21"/>
      <c r="L711" s="21"/>
      <c r="M711" s="21"/>
      <c r="N711" s="21"/>
      <c r="O711" s="21"/>
      <c r="P711" s="21"/>
      <c r="Q711" s="18">
        <v>143.0</v>
      </c>
      <c r="R711" s="21"/>
      <c r="S711" s="21"/>
      <c r="T711" s="18">
        <v>792.0</v>
      </c>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c r="BA711" s="21"/>
      <c r="BB711" s="21"/>
      <c r="BC711" s="21"/>
      <c r="BD711" s="21"/>
      <c r="BE711" s="21"/>
      <c r="BF711" s="21"/>
      <c r="BG711" s="21"/>
      <c r="BH711" s="21"/>
      <c r="BI711" s="21"/>
      <c r="BJ711" s="21"/>
      <c r="BK711" s="10"/>
    </row>
    <row r="712">
      <c r="A712" s="21"/>
      <c r="B712" s="21"/>
      <c r="C712" s="21"/>
      <c r="D712" s="21"/>
      <c r="E712" s="18">
        <v>8.0</v>
      </c>
      <c r="F712" s="18">
        <v>173.0</v>
      </c>
      <c r="G712" s="21"/>
      <c r="H712" s="21"/>
      <c r="I712" s="21"/>
      <c r="J712" s="21"/>
      <c r="K712" s="21"/>
      <c r="L712" s="21"/>
      <c r="M712" s="21"/>
      <c r="N712" s="21"/>
      <c r="O712" s="21"/>
      <c r="P712" s="21"/>
      <c r="Q712" s="18">
        <v>157.0</v>
      </c>
      <c r="R712" s="21"/>
      <c r="S712" s="21"/>
      <c r="T712" s="18">
        <v>868.0</v>
      </c>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c r="BA712" s="21"/>
      <c r="BB712" s="21"/>
      <c r="BC712" s="21"/>
      <c r="BD712" s="21"/>
      <c r="BE712" s="21"/>
      <c r="BF712" s="21"/>
      <c r="BG712" s="21"/>
      <c r="BH712" s="21"/>
      <c r="BI712" s="21"/>
      <c r="BJ712" s="21"/>
      <c r="BK712" s="10"/>
    </row>
    <row r="713">
      <c r="A713" s="21"/>
      <c r="B713" s="21"/>
      <c r="C713" s="21"/>
      <c r="D713" s="21"/>
      <c r="E713" s="18">
        <v>9.0</v>
      </c>
      <c r="F713" s="18">
        <v>190.0</v>
      </c>
      <c r="G713" s="21"/>
      <c r="H713" s="21"/>
      <c r="I713" s="21"/>
      <c r="J713" s="21"/>
      <c r="K713" s="21"/>
      <c r="L713" s="21"/>
      <c r="M713" s="21"/>
      <c r="N713" s="21"/>
      <c r="O713" s="21"/>
      <c r="P713" s="21"/>
      <c r="Q713" s="18">
        <v>172.0</v>
      </c>
      <c r="R713" s="21"/>
      <c r="S713" s="21"/>
      <c r="T713" s="18">
        <v>954.0</v>
      </c>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c r="BA713" s="21"/>
      <c r="BB713" s="21"/>
      <c r="BC713" s="21"/>
      <c r="BD713" s="21"/>
      <c r="BE713" s="21"/>
      <c r="BF713" s="21"/>
      <c r="BG713" s="21"/>
      <c r="BH713" s="21"/>
      <c r="BI713" s="21"/>
      <c r="BJ713" s="21"/>
      <c r="BK713" s="10"/>
    </row>
    <row r="714">
      <c r="A714" s="21"/>
      <c r="B714" s="21"/>
      <c r="C714" s="21"/>
      <c r="D714" s="21"/>
      <c r="E714" s="18">
        <v>10.0</v>
      </c>
      <c r="F714" s="18">
        <v>209.0</v>
      </c>
      <c r="G714" s="21"/>
      <c r="H714" s="21"/>
      <c r="I714" s="21"/>
      <c r="J714" s="21"/>
      <c r="K714" s="21"/>
      <c r="L714" s="21"/>
      <c r="M714" s="21"/>
      <c r="N714" s="21"/>
      <c r="O714" s="21"/>
      <c r="P714" s="21"/>
      <c r="Q714" s="18">
        <v>190.0</v>
      </c>
      <c r="R714" s="21"/>
      <c r="S714" s="21"/>
      <c r="T714" s="18">
        <v>1048.0</v>
      </c>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c r="BA714" s="21"/>
      <c r="BB714" s="21"/>
      <c r="BC714" s="21"/>
      <c r="BD714" s="21"/>
      <c r="BE714" s="21"/>
      <c r="BF714" s="21"/>
      <c r="BG714" s="21"/>
      <c r="BH714" s="21"/>
      <c r="BI714" s="21"/>
      <c r="BJ714" s="21"/>
      <c r="BK714" s="10"/>
    </row>
    <row r="715">
      <c r="A715" s="21"/>
      <c r="B715" s="21"/>
      <c r="C715" s="21"/>
      <c r="D715" s="21"/>
      <c r="E715" s="18">
        <v>11.0</v>
      </c>
      <c r="F715" s="18">
        <v>230.0</v>
      </c>
      <c r="G715" s="21"/>
      <c r="H715" s="21"/>
      <c r="I715" s="21"/>
      <c r="J715" s="21"/>
      <c r="K715" s="21"/>
      <c r="L715" s="21"/>
      <c r="M715" s="21"/>
      <c r="N715" s="21"/>
      <c r="O715" s="21"/>
      <c r="P715" s="21"/>
      <c r="Q715" s="18">
        <v>209.0</v>
      </c>
      <c r="R715" s="21"/>
      <c r="S715" s="21"/>
      <c r="T715" s="18">
        <v>1152.0</v>
      </c>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c r="BA715" s="21"/>
      <c r="BB715" s="21"/>
      <c r="BC715" s="21"/>
      <c r="BD715" s="21"/>
      <c r="BE715" s="21"/>
      <c r="BF715" s="21"/>
      <c r="BG715" s="21"/>
      <c r="BH715" s="21"/>
      <c r="BI715" s="21"/>
      <c r="BJ715" s="21"/>
      <c r="BK715" s="10"/>
    </row>
    <row r="716">
      <c r="A716" s="21"/>
      <c r="B716" s="21"/>
      <c r="C716" s="21"/>
      <c r="D716" s="21"/>
      <c r="E716" s="18">
        <v>12.0</v>
      </c>
      <c r="F716" s="18">
        <v>252.0</v>
      </c>
      <c r="G716" s="21"/>
      <c r="H716" s="21"/>
      <c r="I716" s="21"/>
      <c r="J716" s="21"/>
      <c r="K716" s="21"/>
      <c r="L716" s="21"/>
      <c r="M716" s="21"/>
      <c r="N716" s="21"/>
      <c r="O716" s="21"/>
      <c r="P716" s="21"/>
      <c r="Q716" s="18">
        <v>229.0</v>
      </c>
      <c r="R716" s="21"/>
      <c r="S716" s="21"/>
      <c r="T716" s="18">
        <v>1264.0</v>
      </c>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c r="BA716" s="21"/>
      <c r="BB716" s="21"/>
      <c r="BC716" s="21"/>
      <c r="BD716" s="21"/>
      <c r="BE716" s="21"/>
      <c r="BF716" s="21"/>
      <c r="BG716" s="21"/>
      <c r="BH716" s="21"/>
      <c r="BI716" s="21"/>
      <c r="BJ716" s="21"/>
      <c r="BK716" s="10"/>
    </row>
    <row r="717">
      <c r="A717" s="22"/>
      <c r="B717" s="22"/>
      <c r="C717" s="22"/>
      <c r="D717" s="22"/>
      <c r="E717" s="18">
        <v>13.0</v>
      </c>
      <c r="F717" s="18">
        <v>278.0</v>
      </c>
      <c r="G717" s="22"/>
      <c r="H717" s="22"/>
      <c r="I717" s="22"/>
      <c r="J717" s="22"/>
      <c r="K717" s="22"/>
      <c r="L717" s="22"/>
      <c r="M717" s="22"/>
      <c r="N717" s="22"/>
      <c r="O717" s="22"/>
      <c r="P717" s="22"/>
      <c r="Q717" s="18">
        <v>252.0</v>
      </c>
      <c r="R717" s="22"/>
      <c r="S717" s="22"/>
      <c r="T717" s="18">
        <v>1390.0</v>
      </c>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10"/>
    </row>
    <row r="718">
      <c r="A718" s="16" t="s">
        <v>284</v>
      </c>
      <c r="B718" s="17" t="s">
        <v>83</v>
      </c>
      <c r="C718" s="16" t="s">
        <v>87</v>
      </c>
      <c r="D718" s="16">
        <v>1.0</v>
      </c>
      <c r="E718" s="18">
        <v>1.0</v>
      </c>
      <c r="F718" s="18">
        <v>39.0</v>
      </c>
      <c r="G718" s="16" t="s">
        <v>85</v>
      </c>
      <c r="H718" s="16" t="s">
        <v>85</v>
      </c>
      <c r="I718" s="16" t="s">
        <v>85</v>
      </c>
      <c r="J718" s="16" t="s">
        <v>85</v>
      </c>
      <c r="K718" s="16" t="s">
        <v>85</v>
      </c>
      <c r="L718" s="16" t="s">
        <v>85</v>
      </c>
      <c r="M718" s="16" t="s">
        <v>85</v>
      </c>
      <c r="N718" s="16" t="s">
        <v>85</v>
      </c>
      <c r="O718" s="16" t="s">
        <v>85</v>
      </c>
      <c r="P718" s="16" t="s">
        <v>85</v>
      </c>
      <c r="Q718" s="16" t="s">
        <v>85</v>
      </c>
      <c r="R718" s="16" t="s">
        <v>85</v>
      </c>
      <c r="S718" s="16" t="s">
        <v>85</v>
      </c>
      <c r="T718" s="18">
        <v>90.0</v>
      </c>
      <c r="U718" s="16" t="s">
        <v>85</v>
      </c>
      <c r="V718" s="16" t="s">
        <v>85</v>
      </c>
      <c r="W718" s="16" t="s">
        <v>85</v>
      </c>
      <c r="X718" s="16" t="s">
        <v>85</v>
      </c>
      <c r="Y718" s="16" t="s">
        <v>85</v>
      </c>
      <c r="Z718" s="16" t="s">
        <v>85</v>
      </c>
      <c r="AA718" s="16" t="s">
        <v>85</v>
      </c>
      <c r="AB718" s="16">
        <v>9.0</v>
      </c>
      <c r="AC718" s="16" t="s">
        <v>85</v>
      </c>
      <c r="AD718" s="16" t="s">
        <v>85</v>
      </c>
      <c r="AE718" s="16" t="s">
        <v>85</v>
      </c>
      <c r="AF718" s="16" t="s">
        <v>89</v>
      </c>
      <c r="AG718" s="16" t="s">
        <v>114</v>
      </c>
      <c r="AH718" s="16" t="s">
        <v>85</v>
      </c>
      <c r="AI718" s="16">
        <v>2.5</v>
      </c>
      <c r="AJ718" s="16" t="s">
        <v>85</v>
      </c>
      <c r="AK718" s="16" t="s">
        <v>85</v>
      </c>
      <c r="AL718" s="16" t="s">
        <v>85</v>
      </c>
      <c r="AM718" s="16" t="s">
        <v>85</v>
      </c>
      <c r="AN718" s="16" t="s">
        <v>85</v>
      </c>
      <c r="AO718" s="16" t="s">
        <v>85</v>
      </c>
      <c r="AP718" s="16" t="s">
        <v>85</v>
      </c>
      <c r="AQ718" s="16" t="s">
        <v>85</v>
      </c>
      <c r="AR718" s="16" t="s">
        <v>85</v>
      </c>
      <c r="AS718" s="16" t="s">
        <v>185</v>
      </c>
      <c r="AT718" s="16" t="s">
        <v>85</v>
      </c>
      <c r="AU718" s="16" t="s">
        <v>85</v>
      </c>
      <c r="AV718" s="16" t="s">
        <v>85</v>
      </c>
      <c r="AW718" s="16" t="s">
        <v>85</v>
      </c>
      <c r="AX718" s="16" t="s">
        <v>85</v>
      </c>
      <c r="AY718" s="16" t="s">
        <v>85</v>
      </c>
      <c r="AZ718" s="16" t="s">
        <v>85</v>
      </c>
      <c r="BA718" s="16" t="s">
        <v>85</v>
      </c>
      <c r="BB718" s="16" t="s">
        <v>85</v>
      </c>
      <c r="BC718" s="16" t="s">
        <v>85</v>
      </c>
      <c r="BD718" s="16" t="s">
        <v>85</v>
      </c>
      <c r="BE718" s="16" t="s">
        <v>85</v>
      </c>
      <c r="BF718" s="16" t="s">
        <v>85</v>
      </c>
      <c r="BG718" s="16" t="s">
        <v>85</v>
      </c>
      <c r="BH718" s="16" t="s">
        <v>85</v>
      </c>
      <c r="BI718" s="16" t="s">
        <v>85</v>
      </c>
      <c r="BJ718" s="16" t="s">
        <v>85</v>
      </c>
      <c r="BK718" s="10"/>
    </row>
    <row r="719">
      <c r="A719" s="21"/>
      <c r="B719" s="21"/>
      <c r="C719" s="21"/>
      <c r="D719" s="21"/>
      <c r="E719" s="18">
        <v>2.0</v>
      </c>
      <c r="F719" s="19">
        <v>42.0</v>
      </c>
      <c r="G719" s="21"/>
      <c r="H719" s="21"/>
      <c r="I719" s="21"/>
      <c r="J719" s="21"/>
      <c r="K719" s="21"/>
      <c r="L719" s="21"/>
      <c r="M719" s="21"/>
      <c r="N719" s="21"/>
      <c r="O719" s="21"/>
      <c r="P719" s="21"/>
      <c r="Q719" s="21"/>
      <c r="R719" s="21"/>
      <c r="S719" s="21"/>
      <c r="T719" s="19">
        <v>99.0</v>
      </c>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c r="BA719" s="21"/>
      <c r="BB719" s="21"/>
      <c r="BC719" s="21"/>
      <c r="BD719" s="21"/>
      <c r="BE719" s="21"/>
      <c r="BF719" s="21"/>
      <c r="BG719" s="21"/>
      <c r="BH719" s="21"/>
      <c r="BI719" s="21"/>
      <c r="BJ719" s="21"/>
      <c r="BK719" s="10"/>
    </row>
    <row r="720">
      <c r="A720" s="21"/>
      <c r="B720" s="21"/>
      <c r="C720" s="21"/>
      <c r="D720" s="21"/>
      <c r="E720" s="18">
        <v>3.0</v>
      </c>
      <c r="F720" s="19">
        <v>47.0</v>
      </c>
      <c r="G720" s="21"/>
      <c r="H720" s="21"/>
      <c r="I720" s="21"/>
      <c r="J720" s="21"/>
      <c r="K720" s="21"/>
      <c r="L720" s="21"/>
      <c r="M720" s="21"/>
      <c r="N720" s="21"/>
      <c r="O720" s="21"/>
      <c r="P720" s="21"/>
      <c r="Q720" s="21"/>
      <c r="R720" s="21"/>
      <c r="S720" s="21"/>
      <c r="T720" s="19">
        <v>108.0</v>
      </c>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c r="BA720" s="21"/>
      <c r="BB720" s="21"/>
      <c r="BC720" s="21"/>
      <c r="BD720" s="21"/>
      <c r="BE720" s="21"/>
      <c r="BF720" s="21"/>
      <c r="BG720" s="21"/>
      <c r="BH720" s="21"/>
      <c r="BI720" s="21"/>
      <c r="BJ720" s="21"/>
      <c r="BK720" s="10"/>
    </row>
    <row r="721">
      <c r="A721" s="21"/>
      <c r="B721" s="21"/>
      <c r="C721" s="21"/>
      <c r="D721" s="21"/>
      <c r="E721" s="18">
        <v>4.0</v>
      </c>
      <c r="F721" s="19">
        <v>51.0</v>
      </c>
      <c r="G721" s="21"/>
      <c r="H721" s="21"/>
      <c r="I721" s="21"/>
      <c r="J721" s="21"/>
      <c r="K721" s="21"/>
      <c r="L721" s="21"/>
      <c r="M721" s="21"/>
      <c r="N721" s="21"/>
      <c r="O721" s="21"/>
      <c r="P721" s="21"/>
      <c r="Q721" s="21"/>
      <c r="R721" s="21"/>
      <c r="S721" s="21"/>
      <c r="T721" s="19">
        <v>119.0</v>
      </c>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c r="BA721" s="21"/>
      <c r="BB721" s="21"/>
      <c r="BC721" s="21"/>
      <c r="BD721" s="21"/>
      <c r="BE721" s="21"/>
      <c r="BF721" s="21"/>
      <c r="BG721" s="21"/>
      <c r="BH721" s="21"/>
      <c r="BI721" s="21"/>
      <c r="BJ721" s="21"/>
      <c r="BK721" s="10"/>
    </row>
    <row r="722">
      <c r="A722" s="21"/>
      <c r="B722" s="21"/>
      <c r="C722" s="21"/>
      <c r="D722" s="21"/>
      <c r="E722" s="18">
        <v>5.0</v>
      </c>
      <c r="F722" s="19">
        <v>56.0</v>
      </c>
      <c r="G722" s="21"/>
      <c r="H722" s="21"/>
      <c r="I722" s="21"/>
      <c r="J722" s="21"/>
      <c r="K722" s="21"/>
      <c r="L722" s="21"/>
      <c r="M722" s="21"/>
      <c r="N722" s="21"/>
      <c r="O722" s="21"/>
      <c r="P722" s="21"/>
      <c r="Q722" s="21"/>
      <c r="R722" s="21"/>
      <c r="S722" s="21"/>
      <c r="T722" s="19">
        <v>131.0</v>
      </c>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c r="BA722" s="21"/>
      <c r="BB722" s="21"/>
      <c r="BC722" s="21"/>
      <c r="BD722" s="21"/>
      <c r="BE722" s="21"/>
      <c r="BF722" s="21"/>
      <c r="BG722" s="21"/>
      <c r="BH722" s="21"/>
      <c r="BI722" s="21"/>
      <c r="BJ722" s="21"/>
      <c r="BK722" s="10"/>
    </row>
    <row r="723">
      <c r="A723" s="21"/>
      <c r="B723" s="21"/>
      <c r="C723" s="21"/>
      <c r="D723" s="21"/>
      <c r="E723" s="18">
        <v>6.0</v>
      </c>
      <c r="F723" s="19">
        <v>62.0</v>
      </c>
      <c r="G723" s="21"/>
      <c r="H723" s="21"/>
      <c r="I723" s="21"/>
      <c r="J723" s="21"/>
      <c r="K723" s="21"/>
      <c r="L723" s="21"/>
      <c r="M723" s="21"/>
      <c r="N723" s="21"/>
      <c r="O723" s="21"/>
      <c r="P723" s="21"/>
      <c r="Q723" s="21"/>
      <c r="R723" s="21"/>
      <c r="S723" s="21"/>
      <c r="T723" s="19">
        <v>144.0</v>
      </c>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c r="BA723" s="21"/>
      <c r="BB723" s="21"/>
      <c r="BC723" s="21"/>
      <c r="BD723" s="21"/>
      <c r="BE723" s="21"/>
      <c r="BF723" s="21"/>
      <c r="BG723" s="21"/>
      <c r="BH723" s="21"/>
      <c r="BI723" s="21"/>
      <c r="BJ723" s="21"/>
      <c r="BK723" s="10"/>
    </row>
    <row r="724">
      <c r="A724" s="21"/>
      <c r="B724" s="21"/>
      <c r="C724" s="21"/>
      <c r="D724" s="21"/>
      <c r="E724" s="18">
        <v>7.0</v>
      </c>
      <c r="F724" s="19">
        <v>68.0</v>
      </c>
      <c r="G724" s="21"/>
      <c r="H724" s="21"/>
      <c r="I724" s="21"/>
      <c r="J724" s="21"/>
      <c r="K724" s="21"/>
      <c r="L724" s="21"/>
      <c r="M724" s="21"/>
      <c r="N724" s="21"/>
      <c r="O724" s="21"/>
      <c r="P724" s="21"/>
      <c r="Q724" s="21"/>
      <c r="R724" s="21"/>
      <c r="S724" s="21"/>
      <c r="T724" s="19">
        <v>158.0</v>
      </c>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c r="BA724" s="21"/>
      <c r="BB724" s="21"/>
      <c r="BC724" s="21"/>
      <c r="BD724" s="21"/>
      <c r="BE724" s="21"/>
      <c r="BF724" s="21"/>
      <c r="BG724" s="21"/>
      <c r="BH724" s="21"/>
      <c r="BI724" s="21"/>
      <c r="BJ724" s="21"/>
      <c r="BK724" s="10"/>
    </row>
    <row r="725">
      <c r="A725" s="21"/>
      <c r="B725" s="21"/>
      <c r="C725" s="21"/>
      <c r="D725" s="21"/>
      <c r="E725" s="18">
        <v>8.0</v>
      </c>
      <c r="F725" s="19">
        <v>75.0</v>
      </c>
      <c r="G725" s="21"/>
      <c r="H725" s="21"/>
      <c r="I725" s="21"/>
      <c r="J725" s="21"/>
      <c r="K725" s="21"/>
      <c r="L725" s="21"/>
      <c r="M725" s="21"/>
      <c r="N725" s="21"/>
      <c r="O725" s="21"/>
      <c r="P725" s="21"/>
      <c r="Q725" s="21"/>
      <c r="R725" s="21"/>
      <c r="S725" s="21"/>
      <c r="T725" s="19">
        <v>173.0</v>
      </c>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c r="BA725" s="21"/>
      <c r="BB725" s="21"/>
      <c r="BC725" s="21"/>
      <c r="BD725" s="21"/>
      <c r="BE725" s="21"/>
      <c r="BF725" s="21"/>
      <c r="BG725" s="21"/>
      <c r="BH725" s="21"/>
      <c r="BI725" s="21"/>
      <c r="BJ725" s="21"/>
      <c r="BK725" s="10"/>
    </row>
    <row r="726">
      <c r="A726" s="21"/>
      <c r="B726" s="21"/>
      <c r="C726" s="21"/>
      <c r="D726" s="21"/>
      <c r="E726" s="18">
        <v>9.0</v>
      </c>
      <c r="F726" s="19">
        <v>82.0</v>
      </c>
      <c r="G726" s="21"/>
      <c r="H726" s="21"/>
      <c r="I726" s="21"/>
      <c r="J726" s="21"/>
      <c r="K726" s="21"/>
      <c r="L726" s="21"/>
      <c r="M726" s="21"/>
      <c r="N726" s="21"/>
      <c r="O726" s="21"/>
      <c r="P726" s="21"/>
      <c r="Q726" s="21"/>
      <c r="R726" s="21"/>
      <c r="S726" s="21"/>
      <c r="T726" s="19">
        <v>190.0</v>
      </c>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c r="BA726" s="21"/>
      <c r="BB726" s="21"/>
      <c r="BC726" s="21"/>
      <c r="BD726" s="21"/>
      <c r="BE726" s="21"/>
      <c r="BF726" s="21"/>
      <c r="BG726" s="21"/>
      <c r="BH726" s="21"/>
      <c r="BI726" s="21"/>
      <c r="BJ726" s="21"/>
      <c r="BK726" s="10"/>
    </row>
    <row r="727">
      <c r="A727" s="21"/>
      <c r="B727" s="21"/>
      <c r="C727" s="21"/>
      <c r="D727" s="21"/>
      <c r="E727" s="18">
        <v>10.0</v>
      </c>
      <c r="F727" s="19">
        <v>90.0</v>
      </c>
      <c r="G727" s="21"/>
      <c r="H727" s="21"/>
      <c r="I727" s="21"/>
      <c r="J727" s="21"/>
      <c r="K727" s="21"/>
      <c r="L727" s="21"/>
      <c r="M727" s="21"/>
      <c r="N727" s="21"/>
      <c r="O727" s="21"/>
      <c r="P727" s="21"/>
      <c r="Q727" s="21"/>
      <c r="R727" s="21"/>
      <c r="S727" s="21"/>
      <c r="T727" s="19">
        <v>209.0</v>
      </c>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c r="BA727" s="21"/>
      <c r="BB727" s="21"/>
      <c r="BC727" s="21"/>
      <c r="BD727" s="21"/>
      <c r="BE727" s="21"/>
      <c r="BF727" s="21"/>
      <c r="BG727" s="21"/>
      <c r="BH727" s="21"/>
      <c r="BI727" s="21"/>
      <c r="BJ727" s="21"/>
      <c r="BK727" s="10"/>
    </row>
    <row r="728">
      <c r="A728" s="21"/>
      <c r="B728" s="21"/>
      <c r="C728" s="21"/>
      <c r="D728" s="21"/>
      <c r="E728" s="18">
        <v>11.0</v>
      </c>
      <c r="F728" s="19">
        <v>99.0</v>
      </c>
      <c r="G728" s="21"/>
      <c r="H728" s="21"/>
      <c r="I728" s="21"/>
      <c r="J728" s="21"/>
      <c r="K728" s="21"/>
      <c r="L728" s="21"/>
      <c r="M728" s="21"/>
      <c r="N728" s="21"/>
      <c r="O728" s="21"/>
      <c r="P728" s="21"/>
      <c r="Q728" s="21"/>
      <c r="R728" s="21"/>
      <c r="S728" s="21"/>
      <c r="T728" s="19">
        <v>230.0</v>
      </c>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c r="BA728" s="21"/>
      <c r="BB728" s="21"/>
      <c r="BC728" s="21"/>
      <c r="BD728" s="21"/>
      <c r="BE728" s="21"/>
      <c r="BF728" s="21"/>
      <c r="BG728" s="21"/>
      <c r="BH728" s="21"/>
      <c r="BI728" s="21"/>
      <c r="BJ728" s="21"/>
      <c r="BK728" s="10"/>
    </row>
    <row r="729">
      <c r="A729" s="21"/>
      <c r="B729" s="21"/>
      <c r="C729" s="21"/>
      <c r="D729" s="21"/>
      <c r="E729" s="18">
        <v>12.0</v>
      </c>
      <c r="F729" s="19">
        <v>109.0</v>
      </c>
      <c r="G729" s="21"/>
      <c r="H729" s="21"/>
      <c r="I729" s="21"/>
      <c r="J729" s="21"/>
      <c r="K729" s="21"/>
      <c r="L729" s="21"/>
      <c r="M729" s="21"/>
      <c r="N729" s="21"/>
      <c r="O729" s="21"/>
      <c r="P729" s="21"/>
      <c r="Q729" s="21"/>
      <c r="R729" s="21"/>
      <c r="S729" s="21"/>
      <c r="T729" s="19">
        <v>252.0</v>
      </c>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c r="BA729" s="21"/>
      <c r="BB729" s="21"/>
      <c r="BC729" s="21"/>
      <c r="BD729" s="21"/>
      <c r="BE729" s="21"/>
      <c r="BF729" s="21"/>
      <c r="BG729" s="21"/>
      <c r="BH729" s="21"/>
      <c r="BI729" s="21"/>
      <c r="BJ729" s="21"/>
      <c r="BK729" s="10"/>
    </row>
    <row r="730">
      <c r="A730" s="22"/>
      <c r="B730" s="22"/>
      <c r="C730" s="22"/>
      <c r="D730" s="22"/>
      <c r="E730" s="18">
        <v>13.0</v>
      </c>
      <c r="F730" s="19">
        <v>120.0</v>
      </c>
      <c r="G730" s="22"/>
      <c r="H730" s="22"/>
      <c r="I730" s="22"/>
      <c r="J730" s="22"/>
      <c r="K730" s="22"/>
      <c r="L730" s="22"/>
      <c r="M730" s="22"/>
      <c r="N730" s="22"/>
      <c r="O730" s="22"/>
      <c r="P730" s="22"/>
      <c r="Q730" s="22"/>
      <c r="R730" s="22"/>
      <c r="S730" s="22"/>
      <c r="T730" s="19">
        <v>278.0</v>
      </c>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10"/>
    </row>
    <row r="731">
      <c r="A731" s="16" t="s">
        <v>285</v>
      </c>
      <c r="B731" s="27" t="s">
        <v>101</v>
      </c>
      <c r="C731" s="16" t="s">
        <v>87</v>
      </c>
      <c r="D731" s="16">
        <v>4.0</v>
      </c>
      <c r="E731" s="18">
        <v>3.0</v>
      </c>
      <c r="F731" s="18">
        <v>55.0</v>
      </c>
      <c r="G731" s="16" t="s">
        <v>85</v>
      </c>
      <c r="H731" s="16" t="s">
        <v>85</v>
      </c>
      <c r="I731" s="16" t="s">
        <v>85</v>
      </c>
      <c r="J731" s="16" t="s">
        <v>85</v>
      </c>
      <c r="K731" s="16" t="s">
        <v>85</v>
      </c>
      <c r="L731" s="16" t="s">
        <v>85</v>
      </c>
      <c r="M731" s="16" t="s">
        <v>85</v>
      </c>
      <c r="N731" s="16" t="s">
        <v>85</v>
      </c>
      <c r="O731" s="16" t="s">
        <v>85</v>
      </c>
      <c r="P731" s="16" t="s">
        <v>85</v>
      </c>
      <c r="Q731" s="19">
        <v>26.0</v>
      </c>
      <c r="R731" s="16" t="s">
        <v>85</v>
      </c>
      <c r="S731" s="16" t="s">
        <v>85</v>
      </c>
      <c r="T731" s="18">
        <v>250.0</v>
      </c>
      <c r="U731" s="16" t="s">
        <v>85</v>
      </c>
      <c r="V731" s="16" t="s">
        <v>85</v>
      </c>
      <c r="W731" s="16" t="s">
        <v>85</v>
      </c>
      <c r="X731" s="16" t="s">
        <v>85</v>
      </c>
      <c r="Y731" s="16" t="s">
        <v>85</v>
      </c>
      <c r="Z731" s="16" t="s">
        <v>85</v>
      </c>
      <c r="AA731" s="16" t="s">
        <v>85</v>
      </c>
      <c r="AB731" s="16" t="s">
        <v>85</v>
      </c>
      <c r="AC731" s="16" t="s">
        <v>85</v>
      </c>
      <c r="AD731" s="16" t="s">
        <v>85</v>
      </c>
      <c r="AE731" s="16" t="s">
        <v>286</v>
      </c>
      <c r="AF731" s="16" t="s">
        <v>89</v>
      </c>
      <c r="AG731" s="16" t="s">
        <v>95</v>
      </c>
      <c r="AH731" s="16" t="s">
        <v>85</v>
      </c>
      <c r="AI731" s="16">
        <v>4.5</v>
      </c>
      <c r="AJ731" s="16" t="s">
        <v>85</v>
      </c>
      <c r="AK731" s="16" t="s">
        <v>85</v>
      </c>
      <c r="AL731" s="16" t="s">
        <v>85</v>
      </c>
      <c r="AM731" s="16" t="s">
        <v>92</v>
      </c>
      <c r="AN731" s="16" t="s">
        <v>85</v>
      </c>
      <c r="AO731" s="16" t="s">
        <v>85</v>
      </c>
      <c r="AP731" s="16" t="s">
        <v>85</v>
      </c>
      <c r="AQ731" s="16" t="s">
        <v>85</v>
      </c>
      <c r="AR731" s="16" t="s">
        <v>85</v>
      </c>
      <c r="AS731" s="16" t="s">
        <v>185</v>
      </c>
      <c r="AT731" s="16" t="s">
        <v>85</v>
      </c>
      <c r="AU731" s="16" t="s">
        <v>85</v>
      </c>
      <c r="AV731" s="16" t="s">
        <v>85</v>
      </c>
      <c r="AW731" s="16" t="s">
        <v>85</v>
      </c>
      <c r="AX731" s="16" t="s">
        <v>85</v>
      </c>
      <c r="AY731" s="16" t="s">
        <v>85</v>
      </c>
      <c r="AZ731" s="16" t="s">
        <v>85</v>
      </c>
      <c r="BA731" s="16" t="s">
        <v>85</v>
      </c>
      <c r="BB731" s="16" t="s">
        <v>85</v>
      </c>
      <c r="BC731" s="16" t="s">
        <v>85</v>
      </c>
      <c r="BD731" s="16" t="s">
        <v>85</v>
      </c>
      <c r="BE731" s="16" t="s">
        <v>85</v>
      </c>
      <c r="BF731" s="16" t="s">
        <v>85</v>
      </c>
      <c r="BG731" s="16" t="s">
        <v>85</v>
      </c>
      <c r="BH731" s="16" t="s">
        <v>85</v>
      </c>
      <c r="BI731" s="16" t="s">
        <v>85</v>
      </c>
      <c r="BJ731" s="16" t="s">
        <v>85</v>
      </c>
      <c r="BK731" s="10"/>
    </row>
    <row r="732">
      <c r="A732" s="21"/>
      <c r="B732" s="21"/>
      <c r="C732" s="21"/>
      <c r="D732" s="21"/>
      <c r="E732" s="18">
        <v>4.0</v>
      </c>
      <c r="F732" s="19">
        <v>60.0</v>
      </c>
      <c r="G732" s="21"/>
      <c r="H732" s="21"/>
      <c r="I732" s="21"/>
      <c r="J732" s="21"/>
      <c r="K732" s="21"/>
      <c r="L732" s="21"/>
      <c r="M732" s="21"/>
      <c r="N732" s="21"/>
      <c r="O732" s="21"/>
      <c r="P732" s="21"/>
      <c r="Q732" s="19">
        <v>28.0</v>
      </c>
      <c r="R732" s="21"/>
      <c r="S732" s="21"/>
      <c r="T732" s="18">
        <v>275.0</v>
      </c>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c r="BA732" s="21"/>
      <c r="BB732" s="21"/>
      <c r="BC732" s="21"/>
      <c r="BD732" s="21"/>
      <c r="BE732" s="21"/>
      <c r="BF732" s="21"/>
      <c r="BG732" s="21"/>
      <c r="BH732" s="21"/>
      <c r="BI732" s="21"/>
      <c r="BJ732" s="21"/>
      <c r="BK732" s="10"/>
    </row>
    <row r="733">
      <c r="A733" s="21"/>
      <c r="B733" s="21"/>
      <c r="C733" s="21"/>
      <c r="D733" s="21"/>
      <c r="E733" s="18">
        <v>5.0</v>
      </c>
      <c r="F733" s="19">
        <v>66.0</v>
      </c>
      <c r="G733" s="21"/>
      <c r="H733" s="21"/>
      <c r="I733" s="21"/>
      <c r="J733" s="21"/>
      <c r="K733" s="21"/>
      <c r="L733" s="21"/>
      <c r="M733" s="21"/>
      <c r="N733" s="21"/>
      <c r="O733" s="21"/>
      <c r="P733" s="21"/>
      <c r="Q733" s="19">
        <v>31.0</v>
      </c>
      <c r="R733" s="21"/>
      <c r="S733" s="21"/>
      <c r="T733" s="18">
        <v>302.0</v>
      </c>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c r="BA733" s="21"/>
      <c r="BB733" s="21"/>
      <c r="BC733" s="21"/>
      <c r="BD733" s="21"/>
      <c r="BE733" s="21"/>
      <c r="BF733" s="21"/>
      <c r="BG733" s="21"/>
      <c r="BH733" s="21"/>
      <c r="BI733" s="21"/>
      <c r="BJ733" s="21"/>
      <c r="BK733" s="10"/>
    </row>
    <row r="734">
      <c r="A734" s="21"/>
      <c r="B734" s="21"/>
      <c r="C734" s="21"/>
      <c r="D734" s="21"/>
      <c r="E734" s="18">
        <v>6.0</v>
      </c>
      <c r="F734" s="19">
        <v>73.0</v>
      </c>
      <c r="G734" s="21"/>
      <c r="H734" s="21"/>
      <c r="I734" s="21"/>
      <c r="J734" s="21"/>
      <c r="K734" s="21"/>
      <c r="L734" s="21"/>
      <c r="M734" s="21"/>
      <c r="N734" s="21"/>
      <c r="O734" s="21"/>
      <c r="P734" s="21"/>
      <c r="Q734" s="19">
        <v>34.0</v>
      </c>
      <c r="R734" s="21"/>
      <c r="S734" s="21"/>
      <c r="T734" s="18">
        <v>332.0</v>
      </c>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c r="BA734" s="21"/>
      <c r="BB734" s="21"/>
      <c r="BC734" s="21"/>
      <c r="BD734" s="21"/>
      <c r="BE734" s="21"/>
      <c r="BF734" s="21"/>
      <c r="BG734" s="21"/>
      <c r="BH734" s="21"/>
      <c r="BI734" s="21"/>
      <c r="BJ734" s="21"/>
      <c r="BK734" s="10"/>
    </row>
    <row r="735">
      <c r="A735" s="21"/>
      <c r="B735" s="21"/>
      <c r="C735" s="21"/>
      <c r="D735" s="21"/>
      <c r="E735" s="18">
        <v>7.0</v>
      </c>
      <c r="F735" s="19">
        <v>80.0</v>
      </c>
      <c r="G735" s="21"/>
      <c r="H735" s="21"/>
      <c r="I735" s="21"/>
      <c r="J735" s="21"/>
      <c r="K735" s="21"/>
      <c r="L735" s="21"/>
      <c r="M735" s="21"/>
      <c r="N735" s="21"/>
      <c r="O735" s="21"/>
      <c r="P735" s="21"/>
      <c r="Q735" s="19">
        <v>38.0</v>
      </c>
      <c r="R735" s="21"/>
      <c r="S735" s="21"/>
      <c r="T735" s="18">
        <v>365.0</v>
      </c>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c r="BA735" s="21"/>
      <c r="BB735" s="21"/>
      <c r="BC735" s="21"/>
      <c r="BD735" s="21"/>
      <c r="BE735" s="21"/>
      <c r="BF735" s="21"/>
      <c r="BG735" s="21"/>
      <c r="BH735" s="21"/>
      <c r="BI735" s="21"/>
      <c r="BJ735" s="21"/>
      <c r="BK735" s="10"/>
    </row>
    <row r="736">
      <c r="A736" s="21"/>
      <c r="B736" s="21"/>
      <c r="C736" s="21"/>
      <c r="D736" s="21"/>
      <c r="E736" s="18">
        <v>8.0</v>
      </c>
      <c r="F736" s="19">
        <v>88.0</v>
      </c>
      <c r="G736" s="21"/>
      <c r="H736" s="21"/>
      <c r="I736" s="21"/>
      <c r="J736" s="21"/>
      <c r="K736" s="21"/>
      <c r="L736" s="21"/>
      <c r="M736" s="21"/>
      <c r="N736" s="21"/>
      <c r="O736" s="21"/>
      <c r="P736" s="21"/>
      <c r="Q736" s="19">
        <v>41.0</v>
      </c>
      <c r="R736" s="21"/>
      <c r="S736" s="21"/>
      <c r="T736" s="18">
        <v>400.0</v>
      </c>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c r="BA736" s="21"/>
      <c r="BB736" s="21"/>
      <c r="BC736" s="21"/>
      <c r="BD736" s="21"/>
      <c r="BE736" s="21"/>
      <c r="BF736" s="21"/>
      <c r="BG736" s="21"/>
      <c r="BH736" s="21"/>
      <c r="BI736" s="21"/>
      <c r="BJ736" s="21"/>
      <c r="BK736" s="10"/>
    </row>
    <row r="737">
      <c r="A737" s="21"/>
      <c r="B737" s="21"/>
      <c r="C737" s="21"/>
      <c r="D737" s="21"/>
      <c r="E737" s="18">
        <v>9.0</v>
      </c>
      <c r="F737" s="19">
        <v>96.0</v>
      </c>
      <c r="G737" s="21"/>
      <c r="H737" s="21"/>
      <c r="I737" s="21"/>
      <c r="J737" s="21"/>
      <c r="K737" s="21"/>
      <c r="L737" s="21"/>
      <c r="M737" s="21"/>
      <c r="N737" s="21"/>
      <c r="O737" s="21"/>
      <c r="P737" s="21"/>
      <c r="Q737" s="19">
        <v>45.0</v>
      </c>
      <c r="R737" s="21"/>
      <c r="S737" s="21"/>
      <c r="T737" s="18">
        <v>440.0</v>
      </c>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c r="BA737" s="21"/>
      <c r="BB737" s="21"/>
      <c r="BC737" s="21"/>
      <c r="BD737" s="21"/>
      <c r="BE737" s="21"/>
      <c r="BF737" s="21"/>
      <c r="BG737" s="21"/>
      <c r="BH737" s="21"/>
      <c r="BI737" s="21"/>
      <c r="BJ737" s="21"/>
      <c r="BK737" s="10"/>
    </row>
    <row r="738">
      <c r="A738" s="21"/>
      <c r="B738" s="21"/>
      <c r="C738" s="21"/>
      <c r="D738" s="21"/>
      <c r="E738" s="18">
        <v>10.0</v>
      </c>
      <c r="F738" s="19">
        <v>106.0</v>
      </c>
      <c r="G738" s="21"/>
      <c r="H738" s="21"/>
      <c r="I738" s="21"/>
      <c r="J738" s="21"/>
      <c r="K738" s="21"/>
      <c r="L738" s="21"/>
      <c r="M738" s="21"/>
      <c r="N738" s="21"/>
      <c r="O738" s="21"/>
      <c r="P738" s="21"/>
      <c r="Q738" s="19">
        <v>50.0</v>
      </c>
      <c r="R738" s="21"/>
      <c r="S738" s="21"/>
      <c r="T738" s="18">
        <v>482.0</v>
      </c>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c r="BA738" s="21"/>
      <c r="BB738" s="21"/>
      <c r="BC738" s="21"/>
      <c r="BD738" s="21"/>
      <c r="BE738" s="21"/>
      <c r="BF738" s="21"/>
      <c r="BG738" s="21"/>
      <c r="BH738" s="21"/>
      <c r="BI738" s="21"/>
      <c r="BJ738" s="21"/>
      <c r="BK738" s="10"/>
    </row>
    <row r="739">
      <c r="A739" s="21"/>
      <c r="B739" s="21"/>
      <c r="C739" s="21"/>
      <c r="D739" s="21"/>
      <c r="E739" s="18">
        <v>11.0</v>
      </c>
      <c r="F739" s="19">
        <v>116.0</v>
      </c>
      <c r="G739" s="21"/>
      <c r="H739" s="21"/>
      <c r="I739" s="21"/>
      <c r="J739" s="21"/>
      <c r="K739" s="21"/>
      <c r="L739" s="21"/>
      <c r="M739" s="21"/>
      <c r="N739" s="21"/>
      <c r="O739" s="21"/>
      <c r="P739" s="21"/>
      <c r="Q739" s="19">
        <v>55.0</v>
      </c>
      <c r="R739" s="21"/>
      <c r="S739" s="21"/>
      <c r="T739" s="18">
        <v>530.0</v>
      </c>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c r="BA739" s="21"/>
      <c r="BB739" s="21"/>
      <c r="BC739" s="21"/>
      <c r="BD739" s="21"/>
      <c r="BE739" s="21"/>
      <c r="BF739" s="21"/>
      <c r="BG739" s="21"/>
      <c r="BH739" s="21"/>
      <c r="BI739" s="21"/>
      <c r="BJ739" s="21"/>
      <c r="BK739" s="10"/>
    </row>
    <row r="740">
      <c r="A740" s="21"/>
      <c r="B740" s="21"/>
      <c r="C740" s="21"/>
      <c r="D740" s="21"/>
      <c r="E740" s="18">
        <v>12.0</v>
      </c>
      <c r="F740" s="19">
        <v>128.0</v>
      </c>
      <c r="G740" s="21"/>
      <c r="H740" s="21"/>
      <c r="I740" s="21"/>
      <c r="J740" s="21"/>
      <c r="K740" s="21"/>
      <c r="L740" s="21"/>
      <c r="M740" s="21"/>
      <c r="N740" s="21"/>
      <c r="O740" s="21"/>
      <c r="P740" s="21"/>
      <c r="Q740" s="19">
        <v>60.0</v>
      </c>
      <c r="R740" s="21"/>
      <c r="S740" s="21"/>
      <c r="T740" s="18">
        <v>582.0</v>
      </c>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c r="BA740" s="21"/>
      <c r="BB740" s="21"/>
      <c r="BC740" s="21"/>
      <c r="BD740" s="21"/>
      <c r="BE740" s="21"/>
      <c r="BF740" s="21"/>
      <c r="BG740" s="21"/>
      <c r="BH740" s="21"/>
      <c r="BI740" s="21"/>
      <c r="BJ740" s="21"/>
      <c r="BK740" s="10"/>
    </row>
    <row r="741">
      <c r="A741" s="22"/>
      <c r="B741" s="22"/>
      <c r="C741" s="22"/>
      <c r="D741" s="22"/>
      <c r="E741" s="18">
        <v>13.0</v>
      </c>
      <c r="F741" s="19">
        <v>140.0</v>
      </c>
      <c r="G741" s="22"/>
      <c r="H741" s="22"/>
      <c r="I741" s="22"/>
      <c r="J741" s="22"/>
      <c r="K741" s="22"/>
      <c r="L741" s="22"/>
      <c r="M741" s="22"/>
      <c r="N741" s="22"/>
      <c r="O741" s="22"/>
      <c r="P741" s="22"/>
      <c r="Q741" s="19">
        <v>66.0</v>
      </c>
      <c r="R741" s="22"/>
      <c r="S741" s="22"/>
      <c r="T741" s="18">
        <v>640.0</v>
      </c>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10"/>
    </row>
    <row r="742">
      <c r="A742" s="16" t="s">
        <v>287</v>
      </c>
      <c r="B742" s="30" t="s">
        <v>131</v>
      </c>
      <c r="C742" s="16" t="s">
        <v>87</v>
      </c>
      <c r="D742" s="16">
        <v>8.0</v>
      </c>
      <c r="E742" s="18">
        <v>6.0</v>
      </c>
      <c r="F742" s="18">
        <v>120.0</v>
      </c>
      <c r="G742" s="16" t="s">
        <v>85</v>
      </c>
      <c r="H742" s="16" t="s">
        <v>85</v>
      </c>
      <c r="I742" s="16" t="s">
        <v>85</v>
      </c>
      <c r="J742" s="16" t="s">
        <v>85</v>
      </c>
      <c r="K742" s="16" t="s">
        <v>85</v>
      </c>
      <c r="L742" s="16" t="s">
        <v>85</v>
      </c>
      <c r="M742" s="16" t="s">
        <v>85</v>
      </c>
      <c r="N742" s="16" t="s">
        <v>85</v>
      </c>
      <c r="O742" s="16" t="s">
        <v>85</v>
      </c>
      <c r="P742" s="18">
        <v>120.0</v>
      </c>
      <c r="Q742" s="19">
        <v>57.0</v>
      </c>
      <c r="R742" s="16" t="s">
        <v>85</v>
      </c>
      <c r="S742" s="16" t="s">
        <v>85</v>
      </c>
      <c r="T742" s="18">
        <v>2700.0</v>
      </c>
      <c r="U742" s="16" t="s">
        <v>85</v>
      </c>
      <c r="V742" s="16" t="s">
        <v>85</v>
      </c>
      <c r="W742" s="16" t="s">
        <v>85</v>
      </c>
      <c r="X742" s="16" t="s">
        <v>85</v>
      </c>
      <c r="Y742" s="16" t="s">
        <v>85</v>
      </c>
      <c r="Z742" s="16" t="s">
        <v>85</v>
      </c>
      <c r="AA742" s="16" t="s">
        <v>85</v>
      </c>
      <c r="AB742" s="16" t="s">
        <v>85</v>
      </c>
      <c r="AC742" s="16" t="s">
        <v>85</v>
      </c>
      <c r="AD742" s="16" t="s">
        <v>85</v>
      </c>
      <c r="AE742" s="16" t="s">
        <v>286</v>
      </c>
      <c r="AF742" s="16" t="s">
        <v>109</v>
      </c>
      <c r="AG742" s="16" t="s">
        <v>110</v>
      </c>
      <c r="AH742" s="16" t="s">
        <v>85</v>
      </c>
      <c r="AI742" s="16" t="s">
        <v>99</v>
      </c>
      <c r="AJ742" s="16" t="s">
        <v>85</v>
      </c>
      <c r="AK742" s="16" t="s">
        <v>85</v>
      </c>
      <c r="AL742" s="16" t="s">
        <v>85</v>
      </c>
      <c r="AM742" s="16" t="s">
        <v>85</v>
      </c>
      <c r="AN742" s="16" t="s">
        <v>85</v>
      </c>
      <c r="AO742" s="16" t="s">
        <v>85</v>
      </c>
      <c r="AP742" s="16" t="s">
        <v>85</v>
      </c>
      <c r="AQ742" s="16" t="s">
        <v>85</v>
      </c>
      <c r="AR742" s="16" t="s">
        <v>85</v>
      </c>
      <c r="AS742" s="16" t="s">
        <v>185</v>
      </c>
      <c r="AT742" s="16" t="s">
        <v>85</v>
      </c>
      <c r="AU742" s="16" t="s">
        <v>85</v>
      </c>
      <c r="AV742" s="16" t="s">
        <v>85</v>
      </c>
      <c r="AW742" s="16" t="s">
        <v>85</v>
      </c>
      <c r="AX742" s="16" t="s">
        <v>85</v>
      </c>
      <c r="AY742" s="16" t="s">
        <v>85</v>
      </c>
      <c r="AZ742" s="16" t="s">
        <v>85</v>
      </c>
      <c r="BA742" s="16" t="s">
        <v>85</v>
      </c>
      <c r="BB742" s="16" t="s">
        <v>85</v>
      </c>
      <c r="BC742" s="16" t="s">
        <v>85</v>
      </c>
      <c r="BD742" s="16" t="s">
        <v>85</v>
      </c>
      <c r="BE742" s="16" t="s">
        <v>85</v>
      </c>
      <c r="BF742" s="16"/>
      <c r="BG742" s="16" t="s">
        <v>85</v>
      </c>
      <c r="BH742" s="16" t="s">
        <v>85</v>
      </c>
      <c r="BI742" s="16" t="s">
        <v>85</v>
      </c>
      <c r="BJ742" s="16" t="s">
        <v>85</v>
      </c>
      <c r="BK742" s="10"/>
    </row>
    <row r="743">
      <c r="A743" s="21"/>
      <c r="B743" s="21"/>
      <c r="C743" s="21"/>
      <c r="D743" s="21"/>
      <c r="E743" s="18">
        <v>7.0</v>
      </c>
      <c r="F743" s="19">
        <v>132.0</v>
      </c>
      <c r="G743" s="21"/>
      <c r="H743" s="21"/>
      <c r="I743" s="21"/>
      <c r="J743" s="21"/>
      <c r="K743" s="21"/>
      <c r="L743" s="21"/>
      <c r="M743" s="21"/>
      <c r="N743" s="21"/>
      <c r="O743" s="21"/>
      <c r="P743" s="19">
        <v>132.0</v>
      </c>
      <c r="Q743" s="19">
        <v>62.0</v>
      </c>
      <c r="R743" s="21"/>
      <c r="S743" s="21"/>
      <c r="T743" s="19">
        <v>2970.0</v>
      </c>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c r="BA743" s="21"/>
      <c r="BB743" s="21"/>
      <c r="BC743" s="21"/>
      <c r="BD743" s="21"/>
      <c r="BE743" s="21"/>
      <c r="BF743" s="21"/>
      <c r="BG743" s="21"/>
      <c r="BH743" s="21"/>
      <c r="BI743" s="21"/>
      <c r="BJ743" s="21"/>
      <c r="BK743" s="10"/>
    </row>
    <row r="744">
      <c r="A744" s="21"/>
      <c r="B744" s="21"/>
      <c r="C744" s="21"/>
      <c r="D744" s="21"/>
      <c r="E744" s="18">
        <v>8.0</v>
      </c>
      <c r="F744" s="19">
        <v>145.0</v>
      </c>
      <c r="G744" s="21"/>
      <c r="H744" s="21"/>
      <c r="I744" s="21"/>
      <c r="J744" s="21"/>
      <c r="K744" s="21"/>
      <c r="L744" s="21"/>
      <c r="M744" s="21"/>
      <c r="N744" s="21"/>
      <c r="O744" s="21"/>
      <c r="P744" s="19">
        <v>145.0</v>
      </c>
      <c r="Q744" s="19">
        <v>69.0</v>
      </c>
      <c r="R744" s="21"/>
      <c r="S744" s="21"/>
      <c r="T744" s="19">
        <v>3267.0</v>
      </c>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c r="BA744" s="21"/>
      <c r="BB744" s="21"/>
      <c r="BC744" s="21"/>
      <c r="BD744" s="21"/>
      <c r="BE744" s="21"/>
      <c r="BF744" s="21"/>
      <c r="BG744" s="21"/>
      <c r="BH744" s="21"/>
      <c r="BI744" s="21"/>
      <c r="BJ744" s="21"/>
      <c r="BK744" s="10"/>
    </row>
    <row r="745">
      <c r="A745" s="21"/>
      <c r="B745" s="21"/>
      <c r="C745" s="21"/>
      <c r="D745" s="21"/>
      <c r="E745" s="18">
        <v>9.0</v>
      </c>
      <c r="F745" s="19">
        <v>159.0</v>
      </c>
      <c r="G745" s="21"/>
      <c r="H745" s="21"/>
      <c r="I745" s="21"/>
      <c r="J745" s="21"/>
      <c r="K745" s="21"/>
      <c r="L745" s="21"/>
      <c r="M745" s="21"/>
      <c r="N745" s="21"/>
      <c r="O745" s="21"/>
      <c r="P745" s="19">
        <v>159.0</v>
      </c>
      <c r="Q745" s="19">
        <v>75.0</v>
      </c>
      <c r="R745" s="21"/>
      <c r="S745" s="21"/>
      <c r="T745" s="19">
        <v>3591.0</v>
      </c>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c r="BA745" s="21"/>
      <c r="BB745" s="21"/>
      <c r="BC745" s="21"/>
      <c r="BD745" s="21"/>
      <c r="BE745" s="21"/>
      <c r="BF745" s="21"/>
      <c r="BG745" s="21"/>
      <c r="BH745" s="21"/>
      <c r="BI745" s="21"/>
      <c r="BJ745" s="21"/>
      <c r="BK745" s="10"/>
    </row>
    <row r="746">
      <c r="A746" s="21"/>
      <c r="B746" s="21"/>
      <c r="C746" s="21"/>
      <c r="D746" s="21"/>
      <c r="E746" s="18">
        <v>10.0</v>
      </c>
      <c r="F746" s="19">
        <v>175.0</v>
      </c>
      <c r="G746" s="21"/>
      <c r="H746" s="21"/>
      <c r="I746" s="21"/>
      <c r="J746" s="21"/>
      <c r="K746" s="21"/>
      <c r="L746" s="21"/>
      <c r="M746" s="21"/>
      <c r="N746" s="21"/>
      <c r="O746" s="21"/>
      <c r="P746" s="19">
        <v>175.0</v>
      </c>
      <c r="Q746" s="19">
        <v>83.0</v>
      </c>
      <c r="R746" s="21"/>
      <c r="S746" s="21"/>
      <c r="T746" s="19">
        <v>3942.0</v>
      </c>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c r="BA746" s="21"/>
      <c r="BB746" s="21"/>
      <c r="BC746" s="21"/>
      <c r="BD746" s="21"/>
      <c r="BE746" s="21"/>
      <c r="BF746" s="21"/>
      <c r="BG746" s="21"/>
      <c r="BH746" s="21"/>
      <c r="BI746" s="21"/>
      <c r="BJ746" s="21"/>
      <c r="BK746" s="10"/>
    </row>
    <row r="747">
      <c r="A747" s="21"/>
      <c r="B747" s="21"/>
      <c r="C747" s="21"/>
      <c r="D747" s="21"/>
      <c r="E747" s="18">
        <v>11.0</v>
      </c>
      <c r="F747" s="19">
        <v>192.0</v>
      </c>
      <c r="G747" s="21"/>
      <c r="H747" s="21"/>
      <c r="I747" s="21"/>
      <c r="J747" s="21"/>
      <c r="K747" s="21"/>
      <c r="L747" s="21"/>
      <c r="M747" s="21"/>
      <c r="N747" s="21"/>
      <c r="O747" s="21"/>
      <c r="P747" s="19">
        <v>192.0</v>
      </c>
      <c r="Q747" s="19">
        <v>91.0</v>
      </c>
      <c r="R747" s="21"/>
      <c r="S747" s="21"/>
      <c r="T747" s="19">
        <v>4320.0</v>
      </c>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c r="BA747" s="21"/>
      <c r="BB747" s="21"/>
      <c r="BC747" s="21"/>
      <c r="BD747" s="21"/>
      <c r="BE747" s="21"/>
      <c r="BF747" s="21"/>
      <c r="BG747" s="21"/>
      <c r="BH747" s="21"/>
      <c r="BI747" s="21"/>
      <c r="BJ747" s="21"/>
      <c r="BK747" s="10"/>
    </row>
    <row r="748">
      <c r="A748" s="21"/>
      <c r="B748" s="21"/>
      <c r="C748" s="21"/>
      <c r="D748" s="21"/>
      <c r="E748" s="18">
        <v>12.0</v>
      </c>
      <c r="F748" s="19">
        <v>211.0</v>
      </c>
      <c r="G748" s="21"/>
      <c r="H748" s="21"/>
      <c r="I748" s="21"/>
      <c r="J748" s="21"/>
      <c r="K748" s="21"/>
      <c r="L748" s="21"/>
      <c r="M748" s="21"/>
      <c r="N748" s="21"/>
      <c r="O748" s="21"/>
      <c r="P748" s="19">
        <v>211.0</v>
      </c>
      <c r="Q748" s="19">
        <v>100.0</v>
      </c>
      <c r="R748" s="21"/>
      <c r="S748" s="21"/>
      <c r="T748" s="19">
        <v>4752.0</v>
      </c>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c r="BA748" s="21"/>
      <c r="BB748" s="21"/>
      <c r="BC748" s="21"/>
      <c r="BD748" s="21"/>
      <c r="BE748" s="21"/>
      <c r="BF748" s="21"/>
      <c r="BG748" s="21"/>
      <c r="BH748" s="21"/>
      <c r="BI748" s="21"/>
      <c r="BJ748" s="21"/>
      <c r="BK748" s="10"/>
    </row>
    <row r="749">
      <c r="A749" s="22"/>
      <c r="B749" s="22"/>
      <c r="C749" s="22"/>
      <c r="D749" s="22"/>
      <c r="E749" s="18">
        <v>13.0</v>
      </c>
      <c r="F749" s="19">
        <v>231.0</v>
      </c>
      <c r="G749" s="22"/>
      <c r="H749" s="22"/>
      <c r="I749" s="22"/>
      <c r="J749" s="22"/>
      <c r="K749" s="22"/>
      <c r="L749" s="22"/>
      <c r="M749" s="22"/>
      <c r="N749" s="22"/>
      <c r="O749" s="22"/>
      <c r="P749" s="19">
        <v>231.0</v>
      </c>
      <c r="Q749" s="19">
        <v>110.0</v>
      </c>
      <c r="R749" s="22"/>
      <c r="S749" s="22"/>
      <c r="T749" s="19">
        <v>5211.0</v>
      </c>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10"/>
    </row>
    <row r="750">
      <c r="A750" s="16" t="s">
        <v>288</v>
      </c>
      <c r="B750" s="30" t="s">
        <v>131</v>
      </c>
      <c r="C750" s="16" t="s">
        <v>87</v>
      </c>
      <c r="D750" s="16">
        <v>5.0</v>
      </c>
      <c r="E750" s="32">
        <v>6.0</v>
      </c>
      <c r="F750" s="18">
        <v>120.0</v>
      </c>
      <c r="G750" s="16" t="s">
        <v>85</v>
      </c>
      <c r="H750" s="16" t="s">
        <v>85</v>
      </c>
      <c r="I750" s="16" t="s">
        <v>85</v>
      </c>
      <c r="J750" s="16" t="s">
        <v>85</v>
      </c>
      <c r="K750" s="16" t="s">
        <v>85</v>
      </c>
      <c r="L750" s="16" t="s">
        <v>85</v>
      </c>
      <c r="M750" s="16" t="s">
        <v>85</v>
      </c>
      <c r="N750" s="16" t="s">
        <v>85</v>
      </c>
      <c r="O750" s="16" t="s">
        <v>85</v>
      </c>
      <c r="P750" s="16" t="s">
        <v>85</v>
      </c>
      <c r="Q750" s="18">
        <v>57.0</v>
      </c>
      <c r="R750" s="16" t="s">
        <v>85</v>
      </c>
      <c r="S750" s="16" t="s">
        <v>85</v>
      </c>
      <c r="T750" s="18">
        <v>594.0</v>
      </c>
      <c r="U750" s="16" t="s">
        <v>85</v>
      </c>
      <c r="V750" s="16" t="s">
        <v>85</v>
      </c>
      <c r="W750" s="16" t="s">
        <v>85</v>
      </c>
      <c r="X750" s="16" t="s">
        <v>85</v>
      </c>
      <c r="Y750" s="16" t="s">
        <v>85</v>
      </c>
      <c r="Z750" s="16" t="s">
        <v>85</v>
      </c>
      <c r="AA750" s="16" t="s">
        <v>85</v>
      </c>
      <c r="AB750" s="16">
        <v>3.0</v>
      </c>
      <c r="AC750" s="16" t="s">
        <v>85</v>
      </c>
      <c r="AD750" s="16" t="s">
        <v>85</v>
      </c>
      <c r="AE750" s="16" t="s">
        <v>286</v>
      </c>
      <c r="AF750" s="16" t="s">
        <v>89</v>
      </c>
      <c r="AG750" s="16" t="s">
        <v>95</v>
      </c>
      <c r="AH750" s="16" t="s">
        <v>85</v>
      </c>
      <c r="AI750" s="16">
        <v>3.5</v>
      </c>
      <c r="AJ750" s="16" t="s">
        <v>85</v>
      </c>
      <c r="AK750" s="16" t="s">
        <v>85</v>
      </c>
      <c r="AL750" s="16" t="s">
        <v>85</v>
      </c>
      <c r="AM750" s="16" t="s">
        <v>85</v>
      </c>
      <c r="AN750" s="16" t="s">
        <v>85</v>
      </c>
      <c r="AO750" s="16" t="s">
        <v>85</v>
      </c>
      <c r="AP750" s="16" t="s">
        <v>85</v>
      </c>
      <c r="AQ750" s="16" t="s">
        <v>85</v>
      </c>
      <c r="AR750" s="16" t="s">
        <v>85</v>
      </c>
      <c r="AS750" s="16" t="s">
        <v>185</v>
      </c>
      <c r="AT750" s="16" t="s">
        <v>85</v>
      </c>
      <c r="AU750" s="16" t="s">
        <v>85</v>
      </c>
      <c r="AV750" s="16" t="s">
        <v>85</v>
      </c>
      <c r="AW750" s="16" t="s">
        <v>85</v>
      </c>
      <c r="AX750" s="16" t="s">
        <v>85</v>
      </c>
      <c r="AY750" s="16" t="s">
        <v>85</v>
      </c>
      <c r="AZ750" s="16" t="s">
        <v>85</v>
      </c>
      <c r="BA750" s="16" t="s">
        <v>85</v>
      </c>
      <c r="BB750" s="16" t="s">
        <v>85</v>
      </c>
      <c r="BC750" s="16" t="s">
        <v>85</v>
      </c>
      <c r="BD750" s="16" t="s">
        <v>85</v>
      </c>
      <c r="BE750" s="16" t="s">
        <v>85</v>
      </c>
      <c r="BF750" s="16" t="s">
        <v>85</v>
      </c>
      <c r="BG750" s="16" t="s">
        <v>85</v>
      </c>
      <c r="BH750" s="16" t="s">
        <v>85</v>
      </c>
      <c r="BI750" s="16" t="s">
        <v>85</v>
      </c>
      <c r="BJ750" s="16" t="s">
        <v>85</v>
      </c>
      <c r="BK750" s="10"/>
    </row>
    <row r="751">
      <c r="A751" s="21"/>
      <c r="B751" s="21"/>
      <c r="C751" s="21"/>
      <c r="D751" s="21"/>
      <c r="E751" s="32">
        <v>7.0</v>
      </c>
      <c r="F751" s="18">
        <v>132.0</v>
      </c>
      <c r="G751" s="21"/>
      <c r="H751" s="21"/>
      <c r="I751" s="21"/>
      <c r="J751" s="21"/>
      <c r="K751" s="21"/>
      <c r="L751" s="21"/>
      <c r="M751" s="21"/>
      <c r="N751" s="21"/>
      <c r="O751" s="21"/>
      <c r="P751" s="21"/>
      <c r="Q751" s="18">
        <v>62.0</v>
      </c>
      <c r="R751" s="21"/>
      <c r="S751" s="21"/>
      <c r="T751" s="19">
        <v>653.0</v>
      </c>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c r="BA751" s="21"/>
      <c r="BB751" s="21"/>
      <c r="BC751" s="21"/>
      <c r="BD751" s="21"/>
      <c r="BE751" s="21"/>
      <c r="BF751" s="21"/>
      <c r="BG751" s="21"/>
      <c r="BH751" s="21"/>
      <c r="BI751" s="21"/>
      <c r="BJ751" s="21"/>
      <c r="BK751" s="10"/>
    </row>
    <row r="752">
      <c r="A752" s="21"/>
      <c r="B752" s="21"/>
      <c r="C752" s="21"/>
      <c r="D752" s="21"/>
      <c r="E752" s="32">
        <v>8.0</v>
      </c>
      <c r="F752" s="18">
        <v>145.0</v>
      </c>
      <c r="G752" s="21"/>
      <c r="H752" s="21"/>
      <c r="I752" s="21"/>
      <c r="J752" s="21"/>
      <c r="K752" s="21"/>
      <c r="L752" s="21"/>
      <c r="M752" s="21"/>
      <c r="N752" s="21"/>
      <c r="O752" s="21"/>
      <c r="P752" s="21"/>
      <c r="Q752" s="18">
        <v>69.0</v>
      </c>
      <c r="R752" s="21"/>
      <c r="S752" s="21"/>
      <c r="T752" s="19">
        <v>718.0</v>
      </c>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c r="BA752" s="21"/>
      <c r="BB752" s="21"/>
      <c r="BC752" s="21"/>
      <c r="BD752" s="21"/>
      <c r="BE752" s="21"/>
      <c r="BF752" s="21"/>
      <c r="BG752" s="21"/>
      <c r="BH752" s="21"/>
      <c r="BI752" s="21"/>
      <c r="BJ752" s="21"/>
      <c r="BK752" s="10"/>
    </row>
    <row r="753">
      <c r="A753" s="21"/>
      <c r="B753" s="21"/>
      <c r="C753" s="21"/>
      <c r="D753" s="21"/>
      <c r="E753" s="32">
        <v>9.0</v>
      </c>
      <c r="F753" s="18">
        <v>159.0</v>
      </c>
      <c r="G753" s="21"/>
      <c r="H753" s="21"/>
      <c r="I753" s="21"/>
      <c r="J753" s="21"/>
      <c r="K753" s="21"/>
      <c r="L753" s="21"/>
      <c r="M753" s="21"/>
      <c r="N753" s="21"/>
      <c r="O753" s="21"/>
      <c r="P753" s="21"/>
      <c r="Q753" s="18">
        <v>75.0</v>
      </c>
      <c r="R753" s="21"/>
      <c r="S753" s="21"/>
      <c r="T753" s="19">
        <v>790.0</v>
      </c>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c r="BA753" s="21"/>
      <c r="BB753" s="21"/>
      <c r="BC753" s="21"/>
      <c r="BD753" s="21"/>
      <c r="BE753" s="21"/>
      <c r="BF753" s="21"/>
      <c r="BG753" s="21"/>
      <c r="BH753" s="21"/>
      <c r="BI753" s="21"/>
      <c r="BJ753" s="21"/>
      <c r="BK753" s="10"/>
    </row>
    <row r="754">
      <c r="A754" s="21"/>
      <c r="B754" s="21"/>
      <c r="C754" s="21"/>
      <c r="D754" s="21"/>
      <c r="E754" s="32">
        <v>10.0</v>
      </c>
      <c r="F754" s="18">
        <v>175.0</v>
      </c>
      <c r="G754" s="21"/>
      <c r="H754" s="21"/>
      <c r="I754" s="21"/>
      <c r="J754" s="21"/>
      <c r="K754" s="21"/>
      <c r="L754" s="21"/>
      <c r="M754" s="21"/>
      <c r="N754" s="21"/>
      <c r="O754" s="21"/>
      <c r="P754" s="21"/>
      <c r="Q754" s="18">
        <v>83.0</v>
      </c>
      <c r="R754" s="21"/>
      <c r="S754" s="21"/>
      <c r="T754" s="19">
        <v>867.0</v>
      </c>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c r="BA754" s="21"/>
      <c r="BB754" s="21"/>
      <c r="BC754" s="21"/>
      <c r="BD754" s="21"/>
      <c r="BE754" s="21"/>
      <c r="BF754" s="21"/>
      <c r="BG754" s="21"/>
      <c r="BH754" s="21"/>
      <c r="BI754" s="21"/>
      <c r="BJ754" s="21"/>
      <c r="BK754" s="10"/>
    </row>
    <row r="755">
      <c r="A755" s="21"/>
      <c r="B755" s="21"/>
      <c r="C755" s="21"/>
      <c r="D755" s="21"/>
      <c r="E755" s="32">
        <v>11.0</v>
      </c>
      <c r="F755" s="18">
        <v>192.0</v>
      </c>
      <c r="G755" s="21"/>
      <c r="H755" s="21"/>
      <c r="I755" s="21"/>
      <c r="J755" s="21"/>
      <c r="K755" s="21"/>
      <c r="L755" s="21"/>
      <c r="M755" s="21"/>
      <c r="N755" s="21"/>
      <c r="O755" s="21"/>
      <c r="P755" s="21"/>
      <c r="Q755" s="18">
        <v>91.0</v>
      </c>
      <c r="R755" s="21"/>
      <c r="S755" s="21"/>
      <c r="T755" s="19">
        <v>950.0</v>
      </c>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c r="BA755" s="21"/>
      <c r="BB755" s="21"/>
      <c r="BC755" s="21"/>
      <c r="BD755" s="21"/>
      <c r="BE755" s="21"/>
      <c r="BF755" s="21"/>
      <c r="BG755" s="21"/>
      <c r="BH755" s="21"/>
      <c r="BI755" s="21"/>
      <c r="BJ755" s="21"/>
      <c r="BK755" s="10"/>
    </row>
    <row r="756">
      <c r="A756" s="21"/>
      <c r="B756" s="21"/>
      <c r="C756" s="21"/>
      <c r="D756" s="21"/>
      <c r="E756" s="32">
        <v>12.0</v>
      </c>
      <c r="F756" s="18">
        <v>211.0</v>
      </c>
      <c r="G756" s="21"/>
      <c r="H756" s="21"/>
      <c r="I756" s="21"/>
      <c r="J756" s="21"/>
      <c r="K756" s="21"/>
      <c r="L756" s="21"/>
      <c r="M756" s="21"/>
      <c r="N756" s="21"/>
      <c r="O756" s="21"/>
      <c r="P756" s="21"/>
      <c r="Q756" s="18">
        <v>100.0</v>
      </c>
      <c r="R756" s="21"/>
      <c r="S756" s="21"/>
      <c r="T756" s="19">
        <v>1045.0</v>
      </c>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c r="BA756" s="21"/>
      <c r="BB756" s="21"/>
      <c r="BC756" s="21"/>
      <c r="BD756" s="21"/>
      <c r="BE756" s="21"/>
      <c r="BF756" s="21"/>
      <c r="BG756" s="21"/>
      <c r="BH756" s="21"/>
      <c r="BI756" s="21"/>
      <c r="BJ756" s="21"/>
      <c r="BK756" s="10"/>
    </row>
    <row r="757">
      <c r="A757" s="22"/>
      <c r="B757" s="22"/>
      <c r="C757" s="22"/>
      <c r="D757" s="22"/>
      <c r="E757" s="32">
        <v>13.0</v>
      </c>
      <c r="F757" s="18">
        <v>231.0</v>
      </c>
      <c r="G757" s="22"/>
      <c r="H757" s="22"/>
      <c r="I757" s="22"/>
      <c r="J757" s="22"/>
      <c r="K757" s="22"/>
      <c r="L757" s="22"/>
      <c r="M757" s="22"/>
      <c r="N757" s="22"/>
      <c r="O757" s="22"/>
      <c r="P757" s="22"/>
      <c r="Q757" s="18">
        <v>110.0</v>
      </c>
      <c r="R757" s="22"/>
      <c r="S757" s="22"/>
      <c r="T757" s="19">
        <v>1146.0</v>
      </c>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10"/>
    </row>
    <row r="758">
      <c r="A758" s="16" t="s">
        <v>289</v>
      </c>
      <c r="B758" s="35" t="s">
        <v>181</v>
      </c>
      <c r="C758" s="16" t="s">
        <v>87</v>
      </c>
      <c r="D758" s="16">
        <v>4.0</v>
      </c>
      <c r="E758" s="18">
        <v>9.0</v>
      </c>
      <c r="F758" s="18" t="s">
        <v>290</v>
      </c>
      <c r="G758" s="16" t="s">
        <v>85</v>
      </c>
      <c r="H758" s="18">
        <v>159.0</v>
      </c>
      <c r="I758" s="16" t="s">
        <v>85</v>
      </c>
      <c r="J758" s="16" t="s">
        <v>85</v>
      </c>
      <c r="K758" s="16" t="s">
        <v>85</v>
      </c>
      <c r="L758" s="16" t="s">
        <v>85</v>
      </c>
      <c r="M758" s="16" t="s">
        <v>85</v>
      </c>
      <c r="N758" s="16" t="s">
        <v>85</v>
      </c>
      <c r="O758" s="16" t="s">
        <v>85</v>
      </c>
      <c r="P758" s="16" t="s">
        <v>85</v>
      </c>
      <c r="Q758" s="18" t="s">
        <v>291</v>
      </c>
      <c r="R758" s="16" t="s">
        <v>85</v>
      </c>
      <c r="S758" s="16" t="s">
        <v>85</v>
      </c>
      <c r="T758" s="18">
        <v>590.0</v>
      </c>
      <c r="U758" s="16" t="s">
        <v>85</v>
      </c>
      <c r="V758" s="16" t="s">
        <v>85</v>
      </c>
      <c r="W758" s="16" t="s">
        <v>85</v>
      </c>
      <c r="X758" s="16" t="s">
        <v>85</v>
      </c>
      <c r="Y758" s="16" t="s">
        <v>85</v>
      </c>
      <c r="Z758" s="16" t="s">
        <v>85</v>
      </c>
      <c r="AA758" s="16" t="s">
        <v>85</v>
      </c>
      <c r="AB758" s="16" t="s">
        <v>85</v>
      </c>
      <c r="AC758" s="16" t="s">
        <v>85</v>
      </c>
      <c r="AD758" s="16" t="s">
        <v>85</v>
      </c>
      <c r="AE758" s="16" t="s">
        <v>124</v>
      </c>
      <c r="AF758" s="16" t="s">
        <v>89</v>
      </c>
      <c r="AG758" s="16" t="s">
        <v>90</v>
      </c>
      <c r="AH758" s="16" t="s">
        <v>85</v>
      </c>
      <c r="AI758" s="16">
        <v>5.0</v>
      </c>
      <c r="AJ758" s="16" t="s">
        <v>85</v>
      </c>
      <c r="AK758" s="16" t="s">
        <v>85</v>
      </c>
      <c r="AL758" s="16" t="s">
        <v>85</v>
      </c>
      <c r="AM758" s="16" t="s">
        <v>85</v>
      </c>
      <c r="AN758" s="16" t="s">
        <v>85</v>
      </c>
      <c r="AO758" s="16" t="s">
        <v>85</v>
      </c>
      <c r="AP758" s="16" t="s">
        <v>85</v>
      </c>
      <c r="AQ758" s="16" t="s">
        <v>85</v>
      </c>
      <c r="AR758" s="16" t="s">
        <v>85</v>
      </c>
      <c r="AS758" s="16" t="s">
        <v>185</v>
      </c>
      <c r="AT758" s="16" t="s">
        <v>85</v>
      </c>
      <c r="AU758" s="16" t="s">
        <v>85</v>
      </c>
      <c r="AV758" s="16" t="s">
        <v>85</v>
      </c>
      <c r="AW758" s="16" t="s">
        <v>85</v>
      </c>
      <c r="AX758" s="16" t="s">
        <v>85</v>
      </c>
      <c r="AY758" s="16" t="s">
        <v>85</v>
      </c>
      <c r="AZ758" s="16" t="s">
        <v>85</v>
      </c>
      <c r="BA758" s="16" t="s">
        <v>85</v>
      </c>
      <c r="BB758" s="16" t="s">
        <v>85</v>
      </c>
      <c r="BC758" s="16" t="s">
        <v>85</v>
      </c>
      <c r="BD758" s="16" t="s">
        <v>85</v>
      </c>
      <c r="BE758" s="16" t="s">
        <v>85</v>
      </c>
      <c r="BF758" s="16" t="s">
        <v>85</v>
      </c>
      <c r="BG758" s="16" t="s">
        <v>85</v>
      </c>
      <c r="BH758" s="16" t="s">
        <v>85</v>
      </c>
      <c r="BI758" s="16" t="s">
        <v>85</v>
      </c>
      <c r="BJ758" s="16" t="s">
        <v>85</v>
      </c>
      <c r="BK758" s="10"/>
    </row>
    <row r="759">
      <c r="A759" s="21"/>
      <c r="B759" s="21"/>
      <c r="C759" s="21"/>
      <c r="D759" s="21"/>
      <c r="E759" s="18">
        <v>10.0</v>
      </c>
      <c r="F759" s="18" t="s">
        <v>292</v>
      </c>
      <c r="G759" s="21"/>
      <c r="H759" s="18">
        <v>174.0</v>
      </c>
      <c r="I759" s="21"/>
      <c r="J759" s="21"/>
      <c r="K759" s="21"/>
      <c r="L759" s="21"/>
      <c r="M759" s="21"/>
      <c r="N759" s="21"/>
      <c r="O759" s="21"/>
      <c r="P759" s="21"/>
      <c r="Q759" s="18" t="s">
        <v>293</v>
      </c>
      <c r="R759" s="21"/>
      <c r="S759" s="21"/>
      <c r="T759" s="18">
        <v>649.0</v>
      </c>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c r="BA759" s="21"/>
      <c r="BB759" s="21"/>
      <c r="BC759" s="21"/>
      <c r="BD759" s="21"/>
      <c r="BE759" s="21"/>
      <c r="BF759" s="21"/>
      <c r="BG759" s="21"/>
      <c r="BH759" s="21"/>
      <c r="BI759" s="21"/>
      <c r="BJ759" s="21"/>
      <c r="BK759" s="10"/>
    </row>
    <row r="760">
      <c r="A760" s="21"/>
      <c r="B760" s="21"/>
      <c r="C760" s="21"/>
      <c r="D760" s="21"/>
      <c r="E760" s="18">
        <v>11.0</v>
      </c>
      <c r="F760" s="18" t="s">
        <v>294</v>
      </c>
      <c r="G760" s="21"/>
      <c r="H760" s="18">
        <v>192.0</v>
      </c>
      <c r="I760" s="21"/>
      <c r="J760" s="21"/>
      <c r="K760" s="21"/>
      <c r="L760" s="21"/>
      <c r="M760" s="21"/>
      <c r="N760" s="21"/>
      <c r="O760" s="21"/>
      <c r="P760" s="21"/>
      <c r="Q760" s="18" t="s">
        <v>295</v>
      </c>
      <c r="R760" s="21"/>
      <c r="S760" s="21"/>
      <c r="T760" s="18">
        <v>713.0</v>
      </c>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c r="BA760" s="21"/>
      <c r="BB760" s="21"/>
      <c r="BC760" s="21"/>
      <c r="BD760" s="21"/>
      <c r="BE760" s="21"/>
      <c r="BF760" s="21"/>
      <c r="BG760" s="21"/>
      <c r="BH760" s="21"/>
      <c r="BI760" s="21"/>
      <c r="BJ760" s="21"/>
      <c r="BK760" s="10"/>
    </row>
    <row r="761">
      <c r="A761" s="21"/>
      <c r="B761" s="21"/>
      <c r="C761" s="21"/>
      <c r="D761" s="21"/>
      <c r="E761" s="18">
        <v>12.0</v>
      </c>
      <c r="F761" s="18" t="s">
        <v>296</v>
      </c>
      <c r="G761" s="21"/>
      <c r="H761" s="18">
        <v>210.0</v>
      </c>
      <c r="I761" s="21"/>
      <c r="J761" s="21"/>
      <c r="K761" s="21"/>
      <c r="L761" s="21"/>
      <c r="M761" s="21"/>
      <c r="N761" s="21"/>
      <c r="O761" s="21"/>
      <c r="P761" s="21"/>
      <c r="Q761" s="18" t="s">
        <v>297</v>
      </c>
      <c r="R761" s="21"/>
      <c r="S761" s="21"/>
      <c r="T761" s="18">
        <v>784.0</v>
      </c>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c r="BA761" s="21"/>
      <c r="BB761" s="21"/>
      <c r="BC761" s="21"/>
      <c r="BD761" s="21"/>
      <c r="BE761" s="21"/>
      <c r="BF761" s="21"/>
      <c r="BG761" s="21"/>
      <c r="BH761" s="21"/>
      <c r="BI761" s="21"/>
      <c r="BJ761" s="21"/>
      <c r="BK761" s="10"/>
    </row>
    <row r="762">
      <c r="A762" s="22"/>
      <c r="B762" s="22"/>
      <c r="C762" s="22"/>
      <c r="D762" s="22"/>
      <c r="E762" s="18">
        <v>13.0</v>
      </c>
      <c r="F762" s="18" t="s">
        <v>298</v>
      </c>
      <c r="G762" s="22"/>
      <c r="H762" s="18">
        <v>231.0</v>
      </c>
      <c r="I762" s="22"/>
      <c r="J762" s="22"/>
      <c r="K762" s="22"/>
      <c r="L762" s="22"/>
      <c r="M762" s="22"/>
      <c r="N762" s="22"/>
      <c r="O762" s="22"/>
      <c r="P762" s="22"/>
      <c r="Q762" s="18" t="s">
        <v>299</v>
      </c>
      <c r="R762" s="22"/>
      <c r="S762" s="22"/>
      <c r="T762" s="18">
        <v>861.0</v>
      </c>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10"/>
    </row>
    <row r="763">
      <c r="A763" s="16" t="s">
        <v>300</v>
      </c>
      <c r="B763" s="35" t="s">
        <v>181</v>
      </c>
      <c r="C763" s="16" t="s">
        <v>87</v>
      </c>
      <c r="D763" s="16">
        <v>6.0</v>
      </c>
      <c r="E763" s="32">
        <v>9.0</v>
      </c>
      <c r="F763" s="16" t="s">
        <v>85</v>
      </c>
      <c r="G763" s="18">
        <v>1100.0</v>
      </c>
      <c r="H763" s="16" t="s">
        <v>85</v>
      </c>
      <c r="I763" s="16" t="s">
        <v>85</v>
      </c>
      <c r="J763" s="16" t="s">
        <v>85</v>
      </c>
      <c r="K763" s="16" t="s">
        <v>85</v>
      </c>
      <c r="L763" s="16" t="s">
        <v>85</v>
      </c>
      <c r="M763" s="16" t="s">
        <v>85</v>
      </c>
      <c r="N763" s="16" t="s">
        <v>85</v>
      </c>
      <c r="O763" s="16" t="s">
        <v>85</v>
      </c>
      <c r="P763" s="16" t="s">
        <v>85</v>
      </c>
      <c r="Q763" s="18">
        <v>275.0</v>
      </c>
      <c r="R763" s="16" t="s">
        <v>85</v>
      </c>
      <c r="S763" s="16" t="s">
        <v>85</v>
      </c>
      <c r="T763" s="18">
        <v>1200.0</v>
      </c>
      <c r="U763" s="16" t="s">
        <v>85</v>
      </c>
      <c r="V763" s="16" t="s">
        <v>85</v>
      </c>
      <c r="W763" s="16" t="s">
        <v>85</v>
      </c>
      <c r="X763" s="16" t="s">
        <v>85</v>
      </c>
      <c r="Y763" s="16" t="s">
        <v>85</v>
      </c>
      <c r="Z763" s="16" t="s">
        <v>85</v>
      </c>
      <c r="AA763" s="16" t="s">
        <v>85</v>
      </c>
      <c r="AB763" s="16" t="s">
        <v>85</v>
      </c>
      <c r="AC763" s="16" t="s">
        <v>85</v>
      </c>
      <c r="AD763" s="16" t="s">
        <v>85</v>
      </c>
      <c r="AE763" s="16" t="s">
        <v>225</v>
      </c>
      <c r="AF763" s="16" t="s">
        <v>98</v>
      </c>
      <c r="AG763" s="16" t="s">
        <v>110</v>
      </c>
      <c r="AH763" s="16" t="s">
        <v>85</v>
      </c>
      <c r="AI763" s="16">
        <v>5.0</v>
      </c>
      <c r="AJ763" s="16" t="s">
        <v>85</v>
      </c>
      <c r="AK763" s="16" t="s">
        <v>85</v>
      </c>
      <c r="AL763" s="16" t="s">
        <v>85</v>
      </c>
      <c r="AM763" s="16" t="s">
        <v>85</v>
      </c>
      <c r="AN763" s="16" t="s">
        <v>85</v>
      </c>
      <c r="AO763" s="16" t="s">
        <v>85</v>
      </c>
      <c r="AP763" s="16" t="s">
        <v>85</v>
      </c>
      <c r="AQ763" s="16" t="s">
        <v>85</v>
      </c>
      <c r="AR763" s="16" t="s">
        <v>85</v>
      </c>
      <c r="AS763" s="16" t="s">
        <v>85</v>
      </c>
      <c r="AT763" s="16" t="s">
        <v>85</v>
      </c>
      <c r="AU763" s="16" t="s">
        <v>85</v>
      </c>
      <c r="AV763" s="16" t="s">
        <v>85</v>
      </c>
      <c r="AW763" s="16" t="s">
        <v>85</v>
      </c>
      <c r="AX763" s="16" t="s">
        <v>85</v>
      </c>
      <c r="AY763" s="16" t="s">
        <v>85</v>
      </c>
      <c r="AZ763" s="16" t="s">
        <v>85</v>
      </c>
      <c r="BA763" s="16" t="s">
        <v>85</v>
      </c>
      <c r="BB763" s="16" t="s">
        <v>85</v>
      </c>
      <c r="BC763" s="16" t="s">
        <v>85</v>
      </c>
      <c r="BD763" s="16" t="s">
        <v>85</v>
      </c>
      <c r="BE763" s="16" t="s">
        <v>85</v>
      </c>
      <c r="BF763" s="16" t="s">
        <v>85</v>
      </c>
      <c r="BG763" s="16" t="s">
        <v>85</v>
      </c>
      <c r="BH763" s="16" t="s">
        <v>85</v>
      </c>
      <c r="BI763" s="16" t="s">
        <v>85</v>
      </c>
      <c r="BJ763" s="16" t="s">
        <v>85</v>
      </c>
      <c r="BK763" s="10"/>
    </row>
    <row r="764">
      <c r="A764" s="21"/>
      <c r="B764" s="21"/>
      <c r="C764" s="21"/>
      <c r="D764" s="21"/>
      <c r="E764" s="32">
        <v>10.0</v>
      </c>
      <c r="F764" s="21"/>
      <c r="G764" s="18">
        <v>1210.0</v>
      </c>
      <c r="H764" s="21"/>
      <c r="I764" s="21"/>
      <c r="J764" s="21"/>
      <c r="K764" s="21"/>
      <c r="L764" s="21"/>
      <c r="M764" s="21"/>
      <c r="N764" s="21"/>
      <c r="O764" s="21"/>
      <c r="P764" s="21"/>
      <c r="Q764" s="18">
        <v>302.0</v>
      </c>
      <c r="R764" s="21"/>
      <c r="S764" s="21"/>
      <c r="T764" s="18">
        <v>1320.0</v>
      </c>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c r="BA764" s="21"/>
      <c r="BB764" s="21"/>
      <c r="BC764" s="21"/>
      <c r="BD764" s="21"/>
      <c r="BE764" s="21"/>
      <c r="BF764" s="21"/>
      <c r="BG764" s="21"/>
      <c r="BH764" s="21"/>
      <c r="BI764" s="21"/>
      <c r="BJ764" s="21"/>
      <c r="BK764" s="10"/>
    </row>
    <row r="765">
      <c r="A765" s="21"/>
      <c r="B765" s="21"/>
      <c r="C765" s="21"/>
      <c r="D765" s="21"/>
      <c r="E765" s="32">
        <v>11.0</v>
      </c>
      <c r="F765" s="21"/>
      <c r="G765" s="18">
        <v>1331.0</v>
      </c>
      <c r="H765" s="21"/>
      <c r="I765" s="21"/>
      <c r="J765" s="21"/>
      <c r="K765" s="21"/>
      <c r="L765" s="21"/>
      <c r="M765" s="21"/>
      <c r="N765" s="21"/>
      <c r="O765" s="21"/>
      <c r="P765" s="21"/>
      <c r="Q765" s="18">
        <v>332.0</v>
      </c>
      <c r="R765" s="21"/>
      <c r="S765" s="21"/>
      <c r="T765" s="18">
        <v>1452.0</v>
      </c>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c r="BA765" s="21"/>
      <c r="BB765" s="21"/>
      <c r="BC765" s="21"/>
      <c r="BD765" s="21"/>
      <c r="BE765" s="21"/>
      <c r="BF765" s="21"/>
      <c r="BG765" s="21"/>
      <c r="BH765" s="21"/>
      <c r="BI765" s="21"/>
      <c r="BJ765" s="21"/>
      <c r="BK765" s="10"/>
    </row>
    <row r="766">
      <c r="A766" s="21"/>
      <c r="B766" s="21"/>
      <c r="C766" s="21"/>
      <c r="D766" s="21"/>
      <c r="E766" s="32">
        <v>12.0</v>
      </c>
      <c r="F766" s="21"/>
      <c r="G766" s="18">
        <v>1463.0</v>
      </c>
      <c r="H766" s="21"/>
      <c r="I766" s="21"/>
      <c r="J766" s="21"/>
      <c r="K766" s="21"/>
      <c r="L766" s="21"/>
      <c r="M766" s="21"/>
      <c r="N766" s="21"/>
      <c r="O766" s="21"/>
      <c r="P766" s="21"/>
      <c r="Q766" s="18">
        <v>365.0</v>
      </c>
      <c r="R766" s="21"/>
      <c r="S766" s="21"/>
      <c r="T766" s="18">
        <v>1596.0</v>
      </c>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c r="BA766" s="21"/>
      <c r="BB766" s="21"/>
      <c r="BC766" s="21"/>
      <c r="BD766" s="21"/>
      <c r="BE766" s="21"/>
      <c r="BF766" s="21"/>
      <c r="BG766" s="21"/>
      <c r="BH766" s="21"/>
      <c r="BI766" s="21"/>
      <c r="BJ766" s="21"/>
      <c r="BK766" s="10"/>
    </row>
    <row r="767">
      <c r="A767" s="22"/>
      <c r="B767" s="22"/>
      <c r="C767" s="22"/>
      <c r="D767" s="22"/>
      <c r="E767" s="32">
        <v>13.0</v>
      </c>
      <c r="F767" s="22"/>
      <c r="G767" s="18">
        <v>1606.0</v>
      </c>
      <c r="H767" s="22"/>
      <c r="I767" s="22"/>
      <c r="J767" s="22"/>
      <c r="K767" s="22"/>
      <c r="L767" s="22"/>
      <c r="M767" s="22"/>
      <c r="N767" s="22"/>
      <c r="O767" s="22"/>
      <c r="P767" s="22"/>
      <c r="Q767" s="18">
        <v>401.0</v>
      </c>
      <c r="R767" s="22"/>
      <c r="S767" s="22"/>
      <c r="T767" s="18">
        <v>1752.0</v>
      </c>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10"/>
    </row>
    <row r="768">
      <c r="A768" s="12" t="s">
        <v>301</v>
      </c>
      <c r="B768" s="13" t="s">
        <v>302</v>
      </c>
      <c r="C768" s="14"/>
      <c r="D768" s="14"/>
      <c r="E768" s="15"/>
      <c r="F768" s="29"/>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5"/>
      <c r="BK768" s="10"/>
    </row>
    <row r="769">
      <c r="A769" s="16" t="s">
        <v>303</v>
      </c>
      <c r="B769" s="17" t="s">
        <v>83</v>
      </c>
      <c r="C769" s="16" t="s">
        <v>87</v>
      </c>
      <c r="D769" s="16">
        <v>3.0</v>
      </c>
      <c r="E769" s="18">
        <v>1.0</v>
      </c>
      <c r="F769" s="16" t="s">
        <v>85</v>
      </c>
      <c r="G769" s="16" t="s">
        <v>85</v>
      </c>
      <c r="H769" s="16" t="s">
        <v>85</v>
      </c>
      <c r="I769" s="16" t="s">
        <v>85</v>
      </c>
      <c r="J769" s="16" t="s">
        <v>85</v>
      </c>
      <c r="K769" s="16" t="s">
        <v>85</v>
      </c>
      <c r="L769" s="18">
        <v>52.0</v>
      </c>
      <c r="M769" s="16" t="s">
        <v>85</v>
      </c>
      <c r="N769" s="16" t="s">
        <v>85</v>
      </c>
      <c r="O769" s="16" t="s">
        <v>85</v>
      </c>
      <c r="P769" s="16" t="s">
        <v>85</v>
      </c>
      <c r="Q769" s="16" t="s">
        <v>85</v>
      </c>
      <c r="R769" s="16" t="s">
        <v>85</v>
      </c>
      <c r="S769" s="16" t="s">
        <v>85</v>
      </c>
      <c r="T769" s="18">
        <v>208.0</v>
      </c>
      <c r="U769" s="16" t="s">
        <v>85</v>
      </c>
      <c r="V769" s="16" t="s">
        <v>85</v>
      </c>
      <c r="W769" s="16" t="s">
        <v>125</v>
      </c>
      <c r="X769" s="18">
        <v>1.0</v>
      </c>
      <c r="Y769" s="16" t="s">
        <v>85</v>
      </c>
      <c r="Z769" s="16" t="s">
        <v>85</v>
      </c>
      <c r="AA769" s="16" t="s">
        <v>85</v>
      </c>
      <c r="AB769" s="16" t="s">
        <v>85</v>
      </c>
      <c r="AC769" s="16" t="s">
        <v>85</v>
      </c>
      <c r="AD769" s="16" t="s">
        <v>85</v>
      </c>
      <c r="AE769" s="16" t="s">
        <v>85</v>
      </c>
      <c r="AF769" s="16" t="s">
        <v>109</v>
      </c>
      <c r="AG769" s="16" t="s">
        <v>90</v>
      </c>
      <c r="AH769" s="16" t="s">
        <v>85</v>
      </c>
      <c r="AI769" s="16" t="s">
        <v>85</v>
      </c>
      <c r="AJ769" s="16" t="s">
        <v>85</v>
      </c>
      <c r="AK769" s="16" t="s">
        <v>85</v>
      </c>
      <c r="AL769" s="16" t="s">
        <v>85</v>
      </c>
      <c r="AM769" s="16" t="s">
        <v>85</v>
      </c>
      <c r="AN769" s="16" t="s">
        <v>304</v>
      </c>
      <c r="AO769" s="16" t="s">
        <v>85</v>
      </c>
      <c r="AP769" s="16" t="s">
        <v>85</v>
      </c>
      <c r="AQ769" s="16" t="s">
        <v>85</v>
      </c>
      <c r="AR769" s="16" t="s">
        <v>85</v>
      </c>
      <c r="AS769" s="16" t="s">
        <v>85</v>
      </c>
      <c r="AT769" s="16" t="s">
        <v>85</v>
      </c>
      <c r="AU769" s="16" t="s">
        <v>85</v>
      </c>
      <c r="AV769" s="16" t="s">
        <v>85</v>
      </c>
      <c r="AW769" s="16" t="s">
        <v>85</v>
      </c>
      <c r="AX769" s="16" t="s">
        <v>85</v>
      </c>
      <c r="AY769" s="16" t="s">
        <v>85</v>
      </c>
      <c r="AZ769" s="16" t="s">
        <v>85</v>
      </c>
      <c r="BA769" s="16" t="s">
        <v>85</v>
      </c>
      <c r="BB769" s="16" t="s">
        <v>85</v>
      </c>
      <c r="BC769" s="16" t="s">
        <v>85</v>
      </c>
      <c r="BD769" s="16" t="s">
        <v>85</v>
      </c>
      <c r="BE769" s="16" t="s">
        <v>85</v>
      </c>
      <c r="BF769" s="16" t="s">
        <v>85</v>
      </c>
      <c r="BG769" s="16" t="s">
        <v>85</v>
      </c>
      <c r="BH769" s="16" t="s">
        <v>85</v>
      </c>
      <c r="BI769" s="16" t="s">
        <v>85</v>
      </c>
      <c r="BJ769" s="16" t="s">
        <v>85</v>
      </c>
      <c r="BK769" s="10"/>
    </row>
    <row r="770">
      <c r="A770" s="21"/>
      <c r="B770" s="21"/>
      <c r="C770" s="21"/>
      <c r="D770" s="21"/>
      <c r="E770" s="18">
        <v>2.0</v>
      </c>
      <c r="F770" s="21"/>
      <c r="G770" s="21"/>
      <c r="H770" s="21"/>
      <c r="I770" s="21"/>
      <c r="J770" s="21"/>
      <c r="K770" s="21"/>
      <c r="L770" s="19">
        <v>57.0</v>
      </c>
      <c r="M770" s="21"/>
      <c r="N770" s="21"/>
      <c r="O770" s="21"/>
      <c r="P770" s="21"/>
      <c r="Q770" s="21"/>
      <c r="R770" s="21"/>
      <c r="S770" s="21"/>
      <c r="T770" s="19">
        <v>228.0</v>
      </c>
      <c r="U770" s="21"/>
      <c r="V770" s="21"/>
      <c r="W770" s="21"/>
      <c r="X770" s="18">
        <v>2.0</v>
      </c>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c r="BA770" s="21"/>
      <c r="BB770" s="21"/>
      <c r="BC770" s="21"/>
      <c r="BD770" s="21"/>
      <c r="BE770" s="21"/>
      <c r="BF770" s="21"/>
      <c r="BG770" s="21"/>
      <c r="BH770" s="21"/>
      <c r="BI770" s="21"/>
      <c r="BJ770" s="21"/>
      <c r="BK770" s="10"/>
    </row>
    <row r="771">
      <c r="A771" s="21"/>
      <c r="B771" s="21"/>
      <c r="C771" s="21"/>
      <c r="D771" s="21"/>
      <c r="E771" s="18">
        <v>3.0</v>
      </c>
      <c r="F771" s="21"/>
      <c r="G771" s="21"/>
      <c r="H771" s="21"/>
      <c r="I771" s="21"/>
      <c r="J771" s="21"/>
      <c r="K771" s="21"/>
      <c r="L771" s="19">
        <v>62.0</v>
      </c>
      <c r="M771" s="21"/>
      <c r="N771" s="21"/>
      <c r="O771" s="21"/>
      <c r="P771" s="21"/>
      <c r="Q771" s="21"/>
      <c r="R771" s="21"/>
      <c r="S771" s="21"/>
      <c r="T771" s="19">
        <v>251.0</v>
      </c>
      <c r="U771" s="21"/>
      <c r="V771" s="21"/>
      <c r="W771" s="21"/>
      <c r="X771" s="18">
        <v>3.0</v>
      </c>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c r="BA771" s="21"/>
      <c r="BB771" s="21"/>
      <c r="BC771" s="21"/>
      <c r="BD771" s="21"/>
      <c r="BE771" s="21"/>
      <c r="BF771" s="21"/>
      <c r="BG771" s="21"/>
      <c r="BH771" s="21"/>
      <c r="BI771" s="21"/>
      <c r="BJ771" s="21"/>
      <c r="BK771" s="10"/>
    </row>
    <row r="772">
      <c r="A772" s="21"/>
      <c r="B772" s="21"/>
      <c r="C772" s="21"/>
      <c r="D772" s="21"/>
      <c r="E772" s="18">
        <v>4.0</v>
      </c>
      <c r="F772" s="21"/>
      <c r="G772" s="21"/>
      <c r="H772" s="21"/>
      <c r="I772" s="21"/>
      <c r="J772" s="21"/>
      <c r="K772" s="21"/>
      <c r="L772" s="19">
        <v>69.0</v>
      </c>
      <c r="M772" s="21"/>
      <c r="N772" s="21"/>
      <c r="O772" s="21"/>
      <c r="P772" s="21"/>
      <c r="Q772" s="21"/>
      <c r="R772" s="21"/>
      <c r="S772" s="21"/>
      <c r="T772" s="19">
        <v>276.0</v>
      </c>
      <c r="U772" s="21"/>
      <c r="V772" s="21"/>
      <c r="W772" s="21"/>
      <c r="X772" s="18">
        <v>4.0</v>
      </c>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c r="BA772" s="21"/>
      <c r="BB772" s="21"/>
      <c r="BC772" s="21"/>
      <c r="BD772" s="21"/>
      <c r="BE772" s="21"/>
      <c r="BF772" s="21"/>
      <c r="BG772" s="21"/>
      <c r="BH772" s="21"/>
      <c r="BI772" s="21"/>
      <c r="BJ772" s="21"/>
      <c r="BK772" s="10"/>
    </row>
    <row r="773">
      <c r="A773" s="21"/>
      <c r="B773" s="21"/>
      <c r="C773" s="21"/>
      <c r="D773" s="21"/>
      <c r="E773" s="18">
        <v>5.0</v>
      </c>
      <c r="F773" s="21"/>
      <c r="G773" s="21"/>
      <c r="H773" s="21"/>
      <c r="I773" s="21"/>
      <c r="J773" s="21"/>
      <c r="K773" s="21"/>
      <c r="L773" s="19">
        <v>75.0</v>
      </c>
      <c r="M773" s="21"/>
      <c r="N773" s="21"/>
      <c r="O773" s="21"/>
      <c r="P773" s="21"/>
      <c r="Q773" s="21"/>
      <c r="R773" s="21"/>
      <c r="S773" s="21"/>
      <c r="T773" s="19">
        <v>303.0</v>
      </c>
      <c r="U773" s="21"/>
      <c r="V773" s="21"/>
      <c r="W773" s="21"/>
      <c r="X773" s="18">
        <v>5.0</v>
      </c>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c r="BA773" s="21"/>
      <c r="BB773" s="21"/>
      <c r="BC773" s="21"/>
      <c r="BD773" s="21"/>
      <c r="BE773" s="21"/>
      <c r="BF773" s="21"/>
      <c r="BG773" s="21"/>
      <c r="BH773" s="21"/>
      <c r="BI773" s="21"/>
      <c r="BJ773" s="21"/>
      <c r="BK773" s="10"/>
    </row>
    <row r="774">
      <c r="A774" s="21"/>
      <c r="B774" s="21"/>
      <c r="C774" s="21"/>
      <c r="D774" s="21"/>
      <c r="E774" s="18">
        <v>6.0</v>
      </c>
      <c r="F774" s="21"/>
      <c r="G774" s="21"/>
      <c r="H774" s="21"/>
      <c r="I774" s="21"/>
      <c r="J774" s="21"/>
      <c r="K774" s="21"/>
      <c r="L774" s="19">
        <v>83.0</v>
      </c>
      <c r="M774" s="21"/>
      <c r="N774" s="21"/>
      <c r="O774" s="21"/>
      <c r="P774" s="21"/>
      <c r="Q774" s="21"/>
      <c r="R774" s="21"/>
      <c r="S774" s="21"/>
      <c r="T774" s="19">
        <v>332.0</v>
      </c>
      <c r="U774" s="21"/>
      <c r="V774" s="21"/>
      <c r="W774" s="21"/>
      <c r="X774" s="18">
        <v>6.0</v>
      </c>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c r="BA774" s="21"/>
      <c r="BB774" s="21"/>
      <c r="BC774" s="21"/>
      <c r="BD774" s="21"/>
      <c r="BE774" s="21"/>
      <c r="BF774" s="21"/>
      <c r="BG774" s="21"/>
      <c r="BH774" s="21"/>
      <c r="BI774" s="21"/>
      <c r="BJ774" s="21"/>
      <c r="BK774" s="10"/>
    </row>
    <row r="775">
      <c r="A775" s="21"/>
      <c r="B775" s="21"/>
      <c r="C775" s="21"/>
      <c r="D775" s="21"/>
      <c r="E775" s="18">
        <v>7.0</v>
      </c>
      <c r="F775" s="21"/>
      <c r="G775" s="21"/>
      <c r="H775" s="21"/>
      <c r="I775" s="21"/>
      <c r="J775" s="21"/>
      <c r="K775" s="21"/>
      <c r="L775" s="19">
        <v>91.0</v>
      </c>
      <c r="M775" s="21"/>
      <c r="N775" s="21"/>
      <c r="O775" s="21"/>
      <c r="P775" s="21"/>
      <c r="Q775" s="21"/>
      <c r="R775" s="21"/>
      <c r="S775" s="21"/>
      <c r="T775" s="19">
        <v>366.0</v>
      </c>
      <c r="U775" s="21"/>
      <c r="V775" s="21"/>
      <c r="W775" s="21"/>
      <c r="X775" s="18">
        <v>7.0</v>
      </c>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c r="BA775" s="21"/>
      <c r="BB775" s="21"/>
      <c r="BC775" s="21"/>
      <c r="BD775" s="21"/>
      <c r="BE775" s="21"/>
      <c r="BF775" s="21"/>
      <c r="BG775" s="21"/>
      <c r="BH775" s="21"/>
      <c r="BI775" s="21"/>
      <c r="BJ775" s="21"/>
      <c r="BK775" s="10"/>
    </row>
    <row r="776">
      <c r="A776" s="21"/>
      <c r="B776" s="21"/>
      <c r="C776" s="21"/>
      <c r="D776" s="21"/>
      <c r="E776" s="18">
        <v>8.0</v>
      </c>
      <c r="F776" s="21"/>
      <c r="G776" s="21"/>
      <c r="H776" s="21"/>
      <c r="I776" s="21"/>
      <c r="J776" s="21"/>
      <c r="K776" s="21"/>
      <c r="L776" s="19">
        <v>100.0</v>
      </c>
      <c r="M776" s="21"/>
      <c r="N776" s="21"/>
      <c r="O776" s="21"/>
      <c r="P776" s="21"/>
      <c r="Q776" s="21"/>
      <c r="R776" s="21"/>
      <c r="S776" s="21"/>
      <c r="T776" s="19">
        <v>401.0</v>
      </c>
      <c r="U776" s="21"/>
      <c r="V776" s="21"/>
      <c r="W776" s="21"/>
      <c r="X776" s="18">
        <v>8.0</v>
      </c>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c r="BA776" s="21"/>
      <c r="BB776" s="21"/>
      <c r="BC776" s="21"/>
      <c r="BD776" s="21"/>
      <c r="BE776" s="21"/>
      <c r="BF776" s="21"/>
      <c r="BG776" s="21"/>
      <c r="BH776" s="21"/>
      <c r="BI776" s="21"/>
      <c r="BJ776" s="21"/>
      <c r="BK776" s="10"/>
    </row>
    <row r="777">
      <c r="A777" s="21"/>
      <c r="B777" s="21"/>
      <c r="C777" s="21"/>
      <c r="D777" s="21"/>
      <c r="E777" s="18">
        <v>9.0</v>
      </c>
      <c r="F777" s="21"/>
      <c r="G777" s="21"/>
      <c r="H777" s="21"/>
      <c r="I777" s="21"/>
      <c r="J777" s="21"/>
      <c r="K777" s="21"/>
      <c r="L777" s="19">
        <v>110.0</v>
      </c>
      <c r="M777" s="21"/>
      <c r="N777" s="21"/>
      <c r="O777" s="21"/>
      <c r="P777" s="21"/>
      <c r="Q777" s="21"/>
      <c r="R777" s="21"/>
      <c r="S777" s="21"/>
      <c r="T777" s="19">
        <v>440.0</v>
      </c>
      <c r="U777" s="21"/>
      <c r="V777" s="21"/>
      <c r="W777" s="21"/>
      <c r="X777" s="18">
        <v>9.0</v>
      </c>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c r="BA777" s="21"/>
      <c r="BB777" s="21"/>
      <c r="BC777" s="21"/>
      <c r="BD777" s="21"/>
      <c r="BE777" s="21"/>
      <c r="BF777" s="21"/>
      <c r="BG777" s="21"/>
      <c r="BH777" s="21"/>
      <c r="BI777" s="21"/>
      <c r="BJ777" s="21"/>
      <c r="BK777" s="10"/>
    </row>
    <row r="778">
      <c r="A778" s="21"/>
      <c r="B778" s="21"/>
      <c r="C778" s="21"/>
      <c r="D778" s="21"/>
      <c r="E778" s="18">
        <v>10.0</v>
      </c>
      <c r="F778" s="21"/>
      <c r="G778" s="21"/>
      <c r="H778" s="21"/>
      <c r="I778" s="21"/>
      <c r="J778" s="21"/>
      <c r="K778" s="21"/>
      <c r="L778" s="19">
        <v>121.0</v>
      </c>
      <c r="M778" s="21"/>
      <c r="N778" s="21"/>
      <c r="O778" s="21"/>
      <c r="P778" s="21"/>
      <c r="Q778" s="21"/>
      <c r="R778" s="21"/>
      <c r="S778" s="21"/>
      <c r="T778" s="19">
        <v>484.0</v>
      </c>
      <c r="U778" s="21"/>
      <c r="V778" s="21"/>
      <c r="W778" s="21"/>
      <c r="X778" s="18">
        <v>10.0</v>
      </c>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c r="BA778" s="21"/>
      <c r="BB778" s="21"/>
      <c r="BC778" s="21"/>
      <c r="BD778" s="21"/>
      <c r="BE778" s="21"/>
      <c r="BF778" s="21"/>
      <c r="BG778" s="21"/>
      <c r="BH778" s="21"/>
      <c r="BI778" s="21"/>
      <c r="BJ778" s="21"/>
      <c r="BK778" s="10"/>
    </row>
    <row r="779">
      <c r="A779" s="21"/>
      <c r="B779" s="21"/>
      <c r="C779" s="21"/>
      <c r="D779" s="21"/>
      <c r="E779" s="18">
        <v>11.0</v>
      </c>
      <c r="F779" s="21"/>
      <c r="G779" s="21"/>
      <c r="H779" s="21"/>
      <c r="I779" s="21"/>
      <c r="J779" s="21"/>
      <c r="K779" s="21"/>
      <c r="L779" s="19">
        <v>133.0</v>
      </c>
      <c r="M779" s="21"/>
      <c r="N779" s="21"/>
      <c r="O779" s="21"/>
      <c r="P779" s="21"/>
      <c r="Q779" s="21"/>
      <c r="R779" s="21"/>
      <c r="S779" s="21"/>
      <c r="T779" s="19">
        <v>532.0</v>
      </c>
      <c r="U779" s="21"/>
      <c r="V779" s="21"/>
      <c r="W779" s="21"/>
      <c r="X779" s="18">
        <v>11.0</v>
      </c>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c r="BA779" s="21"/>
      <c r="BB779" s="21"/>
      <c r="BC779" s="21"/>
      <c r="BD779" s="21"/>
      <c r="BE779" s="21"/>
      <c r="BF779" s="21"/>
      <c r="BG779" s="21"/>
      <c r="BH779" s="21"/>
      <c r="BI779" s="21"/>
      <c r="BJ779" s="21"/>
      <c r="BK779" s="10"/>
    </row>
    <row r="780">
      <c r="A780" s="21"/>
      <c r="B780" s="21"/>
      <c r="C780" s="21"/>
      <c r="D780" s="21"/>
      <c r="E780" s="18">
        <v>12.0</v>
      </c>
      <c r="F780" s="21"/>
      <c r="G780" s="21"/>
      <c r="H780" s="21"/>
      <c r="I780" s="21"/>
      <c r="J780" s="21"/>
      <c r="K780" s="21"/>
      <c r="L780" s="19">
        <v>146.0</v>
      </c>
      <c r="M780" s="21"/>
      <c r="N780" s="21"/>
      <c r="O780" s="21"/>
      <c r="P780" s="21"/>
      <c r="Q780" s="21"/>
      <c r="R780" s="21"/>
      <c r="S780" s="21"/>
      <c r="T780" s="19">
        <v>584.0</v>
      </c>
      <c r="U780" s="21"/>
      <c r="V780" s="21"/>
      <c r="W780" s="21"/>
      <c r="X780" s="18">
        <v>12.0</v>
      </c>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c r="BA780" s="21"/>
      <c r="BB780" s="21"/>
      <c r="BC780" s="21"/>
      <c r="BD780" s="21"/>
      <c r="BE780" s="21"/>
      <c r="BF780" s="21"/>
      <c r="BG780" s="21"/>
      <c r="BH780" s="21"/>
      <c r="BI780" s="21"/>
      <c r="BJ780" s="21"/>
      <c r="BK780" s="10"/>
    </row>
    <row r="781">
      <c r="A781" s="22"/>
      <c r="B781" s="22"/>
      <c r="C781" s="22"/>
      <c r="D781" s="22"/>
      <c r="E781" s="18">
        <v>13.0</v>
      </c>
      <c r="F781" s="22"/>
      <c r="G781" s="22"/>
      <c r="H781" s="22"/>
      <c r="I781" s="22"/>
      <c r="J781" s="22"/>
      <c r="K781" s="22"/>
      <c r="L781" s="19">
        <v>160.0</v>
      </c>
      <c r="M781" s="22"/>
      <c r="N781" s="22"/>
      <c r="O781" s="22"/>
      <c r="P781" s="22"/>
      <c r="Q781" s="22"/>
      <c r="R781" s="22"/>
      <c r="S781" s="22"/>
      <c r="T781" s="19">
        <v>642.0</v>
      </c>
      <c r="U781" s="22"/>
      <c r="V781" s="22"/>
      <c r="W781" s="22"/>
      <c r="X781" s="18">
        <v>13.0</v>
      </c>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10"/>
    </row>
    <row r="782">
      <c r="A782" s="16" t="s">
        <v>305</v>
      </c>
      <c r="B782" s="27" t="s">
        <v>101</v>
      </c>
      <c r="C782" s="16" t="s">
        <v>84</v>
      </c>
      <c r="D782" s="16">
        <v>3.0</v>
      </c>
      <c r="E782" s="18">
        <v>3.0</v>
      </c>
      <c r="F782" s="16" t="s">
        <v>85</v>
      </c>
      <c r="G782" s="16" t="s">
        <v>85</v>
      </c>
      <c r="H782" s="16" t="s">
        <v>85</v>
      </c>
      <c r="I782" s="16" t="s">
        <v>85</v>
      </c>
      <c r="J782" s="16" t="s">
        <v>85</v>
      </c>
      <c r="K782" s="16" t="s">
        <v>85</v>
      </c>
      <c r="L782" s="16" t="s">
        <v>85</v>
      </c>
      <c r="M782" s="16" t="s">
        <v>85</v>
      </c>
      <c r="N782" s="16" t="s">
        <v>85</v>
      </c>
      <c r="O782" s="16" t="s">
        <v>85</v>
      </c>
      <c r="P782" s="16" t="s">
        <v>85</v>
      </c>
      <c r="Q782" s="18">
        <v>39.0</v>
      </c>
      <c r="R782" s="19">
        <v>136.0</v>
      </c>
      <c r="S782" s="18">
        <v>34.0</v>
      </c>
      <c r="T782" s="16" t="s">
        <v>85</v>
      </c>
      <c r="U782" s="16" t="s">
        <v>85</v>
      </c>
      <c r="V782" s="16" t="s">
        <v>85</v>
      </c>
      <c r="W782" s="16" t="s">
        <v>85</v>
      </c>
      <c r="X782" s="16" t="s">
        <v>85</v>
      </c>
      <c r="Y782" s="16" t="s">
        <v>85</v>
      </c>
      <c r="Z782" s="16" t="s">
        <v>85</v>
      </c>
      <c r="AA782" s="16" t="s">
        <v>85</v>
      </c>
      <c r="AB782" s="16" t="s">
        <v>85</v>
      </c>
      <c r="AC782" s="16" t="s">
        <v>85</v>
      </c>
      <c r="AD782" s="16" t="s">
        <v>85</v>
      </c>
      <c r="AE782" s="16" t="s">
        <v>85</v>
      </c>
      <c r="AF782" s="16" t="s">
        <v>85</v>
      </c>
      <c r="AG782" s="16" t="s">
        <v>85</v>
      </c>
      <c r="AH782" s="16" t="s">
        <v>85</v>
      </c>
      <c r="AI782" s="16" t="s">
        <v>85</v>
      </c>
      <c r="AJ782" s="16" t="s">
        <v>85</v>
      </c>
      <c r="AK782" s="16" t="s">
        <v>85</v>
      </c>
      <c r="AL782" s="16" t="s">
        <v>85</v>
      </c>
      <c r="AM782" s="16" t="s">
        <v>85</v>
      </c>
      <c r="AN782" s="16" t="s">
        <v>85</v>
      </c>
      <c r="AO782" s="16" t="s">
        <v>85</v>
      </c>
      <c r="AP782" s="16" t="s">
        <v>85</v>
      </c>
      <c r="AQ782" s="16" t="s">
        <v>85</v>
      </c>
      <c r="AR782" s="16" t="s">
        <v>193</v>
      </c>
      <c r="AS782" s="16" t="s">
        <v>85</v>
      </c>
      <c r="AT782" s="16" t="s">
        <v>85</v>
      </c>
      <c r="AU782" s="16" t="s">
        <v>85</v>
      </c>
      <c r="AV782" s="16" t="s">
        <v>85</v>
      </c>
      <c r="AW782" s="16" t="s">
        <v>85</v>
      </c>
      <c r="AX782" s="16" t="s">
        <v>85</v>
      </c>
      <c r="AY782" s="44">
        <v>-0.5</v>
      </c>
      <c r="AZ782" s="16" t="s">
        <v>85</v>
      </c>
      <c r="BA782" s="16" t="s">
        <v>85</v>
      </c>
      <c r="BB782" s="16" t="s">
        <v>85</v>
      </c>
      <c r="BC782" s="16" t="s">
        <v>85</v>
      </c>
      <c r="BD782" s="16" t="s">
        <v>85</v>
      </c>
      <c r="BE782" s="16" t="s">
        <v>85</v>
      </c>
      <c r="BF782" s="16" t="s">
        <v>85</v>
      </c>
      <c r="BG782" s="16" t="s">
        <v>85</v>
      </c>
      <c r="BH782" s="16" t="s">
        <v>85</v>
      </c>
      <c r="BI782" s="16" t="s">
        <v>85</v>
      </c>
      <c r="BJ782" s="16">
        <v>3.5</v>
      </c>
      <c r="BK782" s="10"/>
    </row>
    <row r="783">
      <c r="A783" s="21"/>
      <c r="B783" s="21"/>
      <c r="C783" s="21"/>
      <c r="D783" s="21"/>
      <c r="E783" s="18">
        <v>4.0</v>
      </c>
      <c r="F783" s="21"/>
      <c r="G783" s="21"/>
      <c r="H783" s="21"/>
      <c r="I783" s="21"/>
      <c r="J783" s="21"/>
      <c r="K783" s="21"/>
      <c r="L783" s="21"/>
      <c r="M783" s="21"/>
      <c r="N783" s="21"/>
      <c r="O783" s="21"/>
      <c r="P783" s="21"/>
      <c r="Q783" s="19">
        <v>42.0</v>
      </c>
      <c r="R783" s="19">
        <v>147.0</v>
      </c>
      <c r="S783" s="18">
        <v>36.0</v>
      </c>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c r="BA783" s="21"/>
      <c r="BB783" s="21"/>
      <c r="BC783" s="21"/>
      <c r="BD783" s="21"/>
      <c r="BE783" s="21"/>
      <c r="BF783" s="21"/>
      <c r="BG783" s="21"/>
      <c r="BH783" s="21"/>
      <c r="BI783" s="21"/>
      <c r="BJ783" s="21"/>
      <c r="BK783" s="10"/>
    </row>
    <row r="784">
      <c r="A784" s="21"/>
      <c r="B784" s="21"/>
      <c r="C784" s="21"/>
      <c r="D784" s="21"/>
      <c r="E784" s="18">
        <v>5.0</v>
      </c>
      <c r="F784" s="21"/>
      <c r="G784" s="21"/>
      <c r="H784" s="21"/>
      <c r="I784" s="21"/>
      <c r="J784" s="21"/>
      <c r="K784" s="21"/>
      <c r="L784" s="21"/>
      <c r="M784" s="21"/>
      <c r="N784" s="21"/>
      <c r="O784" s="21"/>
      <c r="P784" s="21"/>
      <c r="Q784" s="19">
        <v>47.0</v>
      </c>
      <c r="R784" s="19">
        <v>164.0</v>
      </c>
      <c r="S784" s="18">
        <v>40.0</v>
      </c>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c r="BA784" s="21"/>
      <c r="BB784" s="21"/>
      <c r="BC784" s="21"/>
      <c r="BD784" s="21"/>
      <c r="BE784" s="21"/>
      <c r="BF784" s="21"/>
      <c r="BG784" s="21"/>
      <c r="BH784" s="21"/>
      <c r="BI784" s="21"/>
      <c r="BJ784" s="21"/>
      <c r="BK784" s="10"/>
    </row>
    <row r="785">
      <c r="A785" s="21"/>
      <c r="B785" s="21"/>
      <c r="C785" s="21"/>
      <c r="D785" s="21"/>
      <c r="E785" s="18">
        <v>6.0</v>
      </c>
      <c r="F785" s="21"/>
      <c r="G785" s="21"/>
      <c r="H785" s="21"/>
      <c r="I785" s="21"/>
      <c r="J785" s="21"/>
      <c r="K785" s="21"/>
      <c r="L785" s="21"/>
      <c r="M785" s="21"/>
      <c r="N785" s="21"/>
      <c r="O785" s="21"/>
      <c r="P785" s="21"/>
      <c r="Q785" s="19">
        <v>51.0</v>
      </c>
      <c r="R785" s="19">
        <v>178.0</v>
      </c>
      <c r="S785" s="18">
        <v>44.0</v>
      </c>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c r="BA785" s="21"/>
      <c r="BB785" s="21"/>
      <c r="BC785" s="21"/>
      <c r="BD785" s="21"/>
      <c r="BE785" s="21"/>
      <c r="BF785" s="21"/>
      <c r="BG785" s="21"/>
      <c r="BH785" s="21"/>
      <c r="BI785" s="21"/>
      <c r="BJ785" s="21"/>
      <c r="BK785" s="10"/>
    </row>
    <row r="786">
      <c r="A786" s="21"/>
      <c r="B786" s="21"/>
      <c r="C786" s="21"/>
      <c r="D786" s="21"/>
      <c r="E786" s="18">
        <v>7.0</v>
      </c>
      <c r="F786" s="21"/>
      <c r="G786" s="21"/>
      <c r="H786" s="21"/>
      <c r="I786" s="21"/>
      <c r="J786" s="21"/>
      <c r="K786" s="21"/>
      <c r="L786" s="21"/>
      <c r="M786" s="21"/>
      <c r="N786" s="21"/>
      <c r="O786" s="21"/>
      <c r="P786" s="21"/>
      <c r="Q786" s="19">
        <v>56.0</v>
      </c>
      <c r="R786" s="19">
        <v>196.0</v>
      </c>
      <c r="S786" s="18">
        <v>48.0</v>
      </c>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c r="BA786" s="21"/>
      <c r="BB786" s="21"/>
      <c r="BC786" s="21"/>
      <c r="BD786" s="21"/>
      <c r="BE786" s="21"/>
      <c r="BF786" s="21"/>
      <c r="BG786" s="21"/>
      <c r="BH786" s="21"/>
      <c r="BI786" s="21"/>
      <c r="BJ786" s="21"/>
      <c r="BK786" s="10"/>
    </row>
    <row r="787">
      <c r="A787" s="21"/>
      <c r="B787" s="21"/>
      <c r="C787" s="21"/>
      <c r="D787" s="21"/>
      <c r="E787" s="18">
        <v>8.0</v>
      </c>
      <c r="F787" s="21"/>
      <c r="G787" s="21"/>
      <c r="H787" s="21"/>
      <c r="I787" s="21"/>
      <c r="J787" s="21"/>
      <c r="K787" s="21"/>
      <c r="L787" s="21"/>
      <c r="M787" s="21"/>
      <c r="N787" s="21"/>
      <c r="O787" s="21"/>
      <c r="P787" s="21"/>
      <c r="Q787" s="19">
        <v>62.0</v>
      </c>
      <c r="R787" s="19">
        <v>217.0</v>
      </c>
      <c r="S787" s="18">
        <v>53.0</v>
      </c>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c r="BA787" s="21"/>
      <c r="BB787" s="21"/>
      <c r="BC787" s="21"/>
      <c r="BD787" s="21"/>
      <c r="BE787" s="21"/>
      <c r="BF787" s="21"/>
      <c r="BG787" s="21"/>
      <c r="BH787" s="21"/>
      <c r="BI787" s="21"/>
      <c r="BJ787" s="21"/>
      <c r="BK787" s="10"/>
    </row>
    <row r="788">
      <c r="A788" s="21"/>
      <c r="B788" s="21"/>
      <c r="C788" s="21"/>
      <c r="D788" s="21"/>
      <c r="E788" s="18">
        <v>9.0</v>
      </c>
      <c r="F788" s="21"/>
      <c r="G788" s="21"/>
      <c r="H788" s="21"/>
      <c r="I788" s="21"/>
      <c r="J788" s="21"/>
      <c r="K788" s="21"/>
      <c r="L788" s="21"/>
      <c r="M788" s="21"/>
      <c r="N788" s="21"/>
      <c r="O788" s="21"/>
      <c r="P788" s="21"/>
      <c r="Q788" s="19">
        <v>68.0</v>
      </c>
      <c r="R788" s="19">
        <v>238.0</v>
      </c>
      <c r="S788" s="18">
        <v>58.0</v>
      </c>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c r="BA788" s="21"/>
      <c r="BB788" s="21"/>
      <c r="BC788" s="21"/>
      <c r="BD788" s="21"/>
      <c r="BE788" s="21"/>
      <c r="BF788" s="21"/>
      <c r="BG788" s="21"/>
      <c r="BH788" s="21"/>
      <c r="BI788" s="21"/>
      <c r="BJ788" s="21"/>
      <c r="BK788" s="10"/>
    </row>
    <row r="789">
      <c r="A789" s="21"/>
      <c r="B789" s="21"/>
      <c r="C789" s="21"/>
      <c r="D789" s="21"/>
      <c r="E789" s="18">
        <v>10.0</v>
      </c>
      <c r="F789" s="21"/>
      <c r="G789" s="21"/>
      <c r="H789" s="21"/>
      <c r="I789" s="21"/>
      <c r="J789" s="21"/>
      <c r="K789" s="21"/>
      <c r="L789" s="21"/>
      <c r="M789" s="21"/>
      <c r="N789" s="21"/>
      <c r="O789" s="21"/>
      <c r="P789" s="21"/>
      <c r="Q789" s="19">
        <v>75.0</v>
      </c>
      <c r="R789" s="19">
        <v>262.0</v>
      </c>
      <c r="S789" s="18">
        <v>64.0</v>
      </c>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c r="BA789" s="21"/>
      <c r="BB789" s="21"/>
      <c r="BC789" s="21"/>
      <c r="BD789" s="21"/>
      <c r="BE789" s="21"/>
      <c r="BF789" s="21"/>
      <c r="BG789" s="21"/>
      <c r="BH789" s="21"/>
      <c r="BI789" s="21"/>
      <c r="BJ789" s="21"/>
      <c r="BK789" s="10"/>
    </row>
    <row r="790">
      <c r="A790" s="21"/>
      <c r="B790" s="21"/>
      <c r="C790" s="21"/>
      <c r="D790" s="21"/>
      <c r="E790" s="18">
        <v>11.0</v>
      </c>
      <c r="F790" s="21"/>
      <c r="G790" s="21"/>
      <c r="H790" s="21"/>
      <c r="I790" s="21"/>
      <c r="J790" s="21"/>
      <c r="K790" s="21"/>
      <c r="L790" s="21"/>
      <c r="M790" s="21"/>
      <c r="N790" s="21"/>
      <c r="O790" s="21"/>
      <c r="P790" s="21"/>
      <c r="Q790" s="19">
        <v>82.0</v>
      </c>
      <c r="R790" s="19">
        <v>287.0</v>
      </c>
      <c r="S790" s="18">
        <v>70.0</v>
      </c>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c r="BA790" s="21"/>
      <c r="BB790" s="21"/>
      <c r="BC790" s="21"/>
      <c r="BD790" s="21"/>
      <c r="BE790" s="21"/>
      <c r="BF790" s="21"/>
      <c r="BG790" s="21"/>
      <c r="BH790" s="21"/>
      <c r="BI790" s="21"/>
      <c r="BJ790" s="21"/>
      <c r="BK790" s="10"/>
    </row>
    <row r="791">
      <c r="A791" s="21"/>
      <c r="B791" s="21"/>
      <c r="C791" s="21"/>
      <c r="D791" s="21"/>
      <c r="E791" s="18">
        <v>12.0</v>
      </c>
      <c r="F791" s="21"/>
      <c r="G791" s="21"/>
      <c r="H791" s="21"/>
      <c r="I791" s="21"/>
      <c r="J791" s="21"/>
      <c r="K791" s="21"/>
      <c r="L791" s="21"/>
      <c r="M791" s="21"/>
      <c r="N791" s="21"/>
      <c r="O791" s="21"/>
      <c r="P791" s="21"/>
      <c r="Q791" s="19">
        <v>90.0</v>
      </c>
      <c r="R791" s="19">
        <v>315.0</v>
      </c>
      <c r="S791" s="18">
        <v>77.0</v>
      </c>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c r="BA791" s="21"/>
      <c r="BB791" s="21"/>
      <c r="BC791" s="21"/>
      <c r="BD791" s="21"/>
      <c r="BE791" s="21"/>
      <c r="BF791" s="21"/>
      <c r="BG791" s="21"/>
      <c r="BH791" s="21"/>
      <c r="BI791" s="21"/>
      <c r="BJ791" s="21"/>
      <c r="BK791" s="10"/>
    </row>
    <row r="792">
      <c r="A792" s="22"/>
      <c r="B792" s="22"/>
      <c r="C792" s="22"/>
      <c r="D792" s="22"/>
      <c r="E792" s="18">
        <v>13.0</v>
      </c>
      <c r="F792" s="22"/>
      <c r="G792" s="22"/>
      <c r="H792" s="22"/>
      <c r="I792" s="22"/>
      <c r="J792" s="22"/>
      <c r="K792" s="22"/>
      <c r="L792" s="22"/>
      <c r="M792" s="22"/>
      <c r="N792" s="22"/>
      <c r="O792" s="22"/>
      <c r="P792" s="22"/>
      <c r="Q792" s="19">
        <v>99.0</v>
      </c>
      <c r="R792" s="19">
        <v>346.0</v>
      </c>
      <c r="S792" s="18">
        <v>85.0</v>
      </c>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10"/>
    </row>
    <row r="793">
      <c r="A793" s="16" t="s">
        <v>306</v>
      </c>
      <c r="B793" s="27" t="s">
        <v>101</v>
      </c>
      <c r="C793" s="16" t="s">
        <v>117</v>
      </c>
      <c r="D793" s="16">
        <v>4.0</v>
      </c>
      <c r="E793" s="18">
        <v>3.0</v>
      </c>
      <c r="F793" s="16" t="s">
        <v>85</v>
      </c>
      <c r="G793" s="18">
        <v>105.0</v>
      </c>
      <c r="H793" s="16" t="s">
        <v>85</v>
      </c>
      <c r="I793" s="16" t="s">
        <v>85</v>
      </c>
      <c r="J793" s="16" t="s">
        <v>85</v>
      </c>
      <c r="K793" s="16" t="s">
        <v>85</v>
      </c>
      <c r="L793" s="18">
        <v>105.0</v>
      </c>
      <c r="M793" s="16" t="s">
        <v>85</v>
      </c>
      <c r="N793" s="16" t="s">
        <v>85</v>
      </c>
      <c r="O793" s="16" t="s">
        <v>85</v>
      </c>
      <c r="P793" s="16" t="s">
        <v>85</v>
      </c>
      <c r="Q793" s="19">
        <v>65.0</v>
      </c>
      <c r="R793" s="16" t="s">
        <v>85</v>
      </c>
      <c r="S793" s="16" t="s">
        <v>85</v>
      </c>
      <c r="T793" s="18">
        <v>640.0</v>
      </c>
      <c r="U793" s="16" t="s">
        <v>85</v>
      </c>
      <c r="V793" s="16" t="s">
        <v>85</v>
      </c>
      <c r="W793" s="16" t="s">
        <v>85</v>
      </c>
      <c r="X793" s="16" t="s">
        <v>85</v>
      </c>
      <c r="Y793" s="16" t="s">
        <v>85</v>
      </c>
      <c r="Z793" s="16" t="s">
        <v>85</v>
      </c>
      <c r="AA793" s="16" t="s">
        <v>85</v>
      </c>
      <c r="AB793" s="16" t="s">
        <v>85</v>
      </c>
      <c r="AC793" s="16" t="s">
        <v>85</v>
      </c>
      <c r="AD793" s="16" t="s">
        <v>85</v>
      </c>
      <c r="AE793" s="16" t="s">
        <v>143</v>
      </c>
      <c r="AF793" s="16" t="s">
        <v>98</v>
      </c>
      <c r="AG793" s="16" t="s">
        <v>85</v>
      </c>
      <c r="AH793" s="16" t="s">
        <v>85</v>
      </c>
      <c r="AI793" s="16">
        <v>6.0</v>
      </c>
      <c r="AJ793" s="16" t="s">
        <v>85</v>
      </c>
      <c r="AK793" s="16" t="s">
        <v>85</v>
      </c>
      <c r="AL793" s="16" t="s">
        <v>307</v>
      </c>
      <c r="AM793" s="16" t="s">
        <v>85</v>
      </c>
      <c r="AN793" s="16" t="s">
        <v>85</v>
      </c>
      <c r="AO793" s="16" t="s">
        <v>85</v>
      </c>
      <c r="AP793" s="16" t="s">
        <v>85</v>
      </c>
      <c r="AQ793" s="16" t="s">
        <v>85</v>
      </c>
      <c r="AR793" s="16" t="s">
        <v>85</v>
      </c>
      <c r="AS793" s="16" t="s">
        <v>85</v>
      </c>
      <c r="AT793" s="16" t="s">
        <v>85</v>
      </c>
      <c r="AU793" s="16" t="s">
        <v>85</v>
      </c>
      <c r="AV793" s="16" t="s">
        <v>85</v>
      </c>
      <c r="AW793" s="16" t="s">
        <v>85</v>
      </c>
      <c r="AX793" s="16" t="s">
        <v>85</v>
      </c>
      <c r="AY793" s="16" t="s">
        <v>85</v>
      </c>
      <c r="AZ793" s="16" t="s">
        <v>85</v>
      </c>
      <c r="BA793" s="16" t="s">
        <v>85</v>
      </c>
      <c r="BB793" s="16" t="s">
        <v>85</v>
      </c>
      <c r="BC793" s="16" t="s">
        <v>85</v>
      </c>
      <c r="BD793" s="16" t="s">
        <v>85</v>
      </c>
      <c r="BE793" s="16" t="s">
        <v>85</v>
      </c>
      <c r="BF793" s="16" t="s">
        <v>85</v>
      </c>
      <c r="BG793" s="16" t="s">
        <v>85</v>
      </c>
      <c r="BH793" s="16" t="s">
        <v>85</v>
      </c>
      <c r="BI793" s="16" t="s">
        <v>85</v>
      </c>
      <c r="BJ793" s="16" t="s">
        <v>85</v>
      </c>
      <c r="BK793" s="10"/>
    </row>
    <row r="794">
      <c r="A794" s="21"/>
      <c r="B794" s="21"/>
      <c r="C794" s="21"/>
      <c r="D794" s="21"/>
      <c r="E794" s="18">
        <v>4.0</v>
      </c>
      <c r="F794" s="21"/>
      <c r="G794" s="19">
        <v>115.0</v>
      </c>
      <c r="H794" s="21"/>
      <c r="I794" s="21"/>
      <c r="J794" s="21"/>
      <c r="K794" s="21"/>
      <c r="L794" s="19">
        <v>115.0</v>
      </c>
      <c r="M794" s="21"/>
      <c r="N794" s="21"/>
      <c r="O794" s="21"/>
      <c r="P794" s="21"/>
      <c r="Q794" s="19">
        <v>71.0</v>
      </c>
      <c r="R794" s="21"/>
      <c r="S794" s="21"/>
      <c r="T794" s="19">
        <v>704.0</v>
      </c>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c r="BA794" s="21"/>
      <c r="BB794" s="21"/>
      <c r="BC794" s="21"/>
      <c r="BD794" s="21"/>
      <c r="BE794" s="21"/>
      <c r="BF794" s="21"/>
      <c r="BG794" s="21"/>
      <c r="BH794" s="21"/>
      <c r="BI794" s="21"/>
      <c r="BJ794" s="21"/>
      <c r="BK794" s="10"/>
    </row>
    <row r="795">
      <c r="A795" s="21"/>
      <c r="B795" s="21"/>
      <c r="C795" s="21"/>
      <c r="D795" s="21"/>
      <c r="E795" s="18">
        <v>5.0</v>
      </c>
      <c r="F795" s="21"/>
      <c r="G795" s="19">
        <v>127.0</v>
      </c>
      <c r="H795" s="21"/>
      <c r="I795" s="21"/>
      <c r="J795" s="21"/>
      <c r="K795" s="21"/>
      <c r="L795" s="19">
        <v>127.0</v>
      </c>
      <c r="M795" s="21"/>
      <c r="N795" s="21"/>
      <c r="O795" s="21"/>
      <c r="P795" s="21"/>
      <c r="Q795" s="19">
        <v>79.0</v>
      </c>
      <c r="R795" s="21"/>
      <c r="S795" s="21"/>
      <c r="T795" s="19">
        <v>774.0</v>
      </c>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c r="BA795" s="21"/>
      <c r="BB795" s="21"/>
      <c r="BC795" s="21"/>
      <c r="BD795" s="21"/>
      <c r="BE795" s="21"/>
      <c r="BF795" s="21"/>
      <c r="BG795" s="21"/>
      <c r="BH795" s="21"/>
      <c r="BI795" s="21"/>
      <c r="BJ795" s="21"/>
      <c r="BK795" s="10"/>
    </row>
    <row r="796">
      <c r="A796" s="21"/>
      <c r="B796" s="21"/>
      <c r="C796" s="21"/>
      <c r="D796" s="21"/>
      <c r="E796" s="18">
        <v>6.0</v>
      </c>
      <c r="F796" s="21"/>
      <c r="G796" s="19">
        <v>139.0</v>
      </c>
      <c r="H796" s="21"/>
      <c r="I796" s="21"/>
      <c r="J796" s="21"/>
      <c r="K796" s="21"/>
      <c r="L796" s="19">
        <v>139.0</v>
      </c>
      <c r="M796" s="21"/>
      <c r="N796" s="21"/>
      <c r="O796" s="21"/>
      <c r="P796" s="21"/>
      <c r="Q796" s="19">
        <v>86.0</v>
      </c>
      <c r="R796" s="21"/>
      <c r="S796" s="21"/>
      <c r="T796" s="19">
        <v>851.0</v>
      </c>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c r="BA796" s="21"/>
      <c r="BB796" s="21"/>
      <c r="BC796" s="21"/>
      <c r="BD796" s="21"/>
      <c r="BE796" s="21"/>
      <c r="BF796" s="21"/>
      <c r="BG796" s="21"/>
      <c r="BH796" s="21"/>
      <c r="BI796" s="21"/>
      <c r="BJ796" s="21"/>
      <c r="BK796" s="10"/>
    </row>
    <row r="797">
      <c r="A797" s="21"/>
      <c r="B797" s="21"/>
      <c r="C797" s="21"/>
      <c r="D797" s="21"/>
      <c r="E797" s="18">
        <v>7.0</v>
      </c>
      <c r="F797" s="21"/>
      <c r="G797" s="19">
        <v>153.0</v>
      </c>
      <c r="H797" s="21"/>
      <c r="I797" s="21"/>
      <c r="J797" s="21"/>
      <c r="K797" s="21"/>
      <c r="L797" s="19">
        <v>153.0</v>
      </c>
      <c r="M797" s="21"/>
      <c r="N797" s="21"/>
      <c r="O797" s="21"/>
      <c r="P797" s="21"/>
      <c r="Q797" s="19">
        <v>95.0</v>
      </c>
      <c r="R797" s="21"/>
      <c r="S797" s="21"/>
      <c r="T797" s="19">
        <v>934.0</v>
      </c>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c r="BA797" s="21"/>
      <c r="BB797" s="21"/>
      <c r="BC797" s="21"/>
      <c r="BD797" s="21"/>
      <c r="BE797" s="21"/>
      <c r="BF797" s="21"/>
      <c r="BG797" s="21"/>
      <c r="BH797" s="21"/>
      <c r="BI797" s="21"/>
      <c r="BJ797" s="21"/>
      <c r="BK797" s="10"/>
    </row>
    <row r="798">
      <c r="A798" s="21"/>
      <c r="B798" s="21"/>
      <c r="C798" s="21"/>
      <c r="D798" s="21"/>
      <c r="E798" s="18">
        <v>8.0</v>
      </c>
      <c r="F798" s="21"/>
      <c r="G798" s="19">
        <v>168.0</v>
      </c>
      <c r="H798" s="21"/>
      <c r="I798" s="21"/>
      <c r="J798" s="21"/>
      <c r="K798" s="21"/>
      <c r="L798" s="19">
        <v>168.0</v>
      </c>
      <c r="M798" s="21"/>
      <c r="N798" s="21"/>
      <c r="O798" s="21"/>
      <c r="P798" s="21"/>
      <c r="Q798" s="19">
        <v>105.0</v>
      </c>
      <c r="R798" s="21"/>
      <c r="S798" s="21"/>
      <c r="T798" s="19">
        <v>1024.0</v>
      </c>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c r="BA798" s="21"/>
      <c r="BB798" s="21"/>
      <c r="BC798" s="21"/>
      <c r="BD798" s="21"/>
      <c r="BE798" s="21"/>
      <c r="BF798" s="21"/>
      <c r="BG798" s="21"/>
      <c r="BH798" s="21"/>
      <c r="BI798" s="21"/>
      <c r="BJ798" s="21"/>
      <c r="BK798" s="10"/>
    </row>
    <row r="799">
      <c r="A799" s="21"/>
      <c r="B799" s="21"/>
      <c r="C799" s="21"/>
      <c r="D799" s="21"/>
      <c r="E799" s="18">
        <v>9.0</v>
      </c>
      <c r="F799" s="21"/>
      <c r="G799" s="19">
        <v>184.0</v>
      </c>
      <c r="H799" s="21"/>
      <c r="I799" s="21"/>
      <c r="J799" s="21"/>
      <c r="K799" s="21"/>
      <c r="L799" s="19">
        <v>184.0</v>
      </c>
      <c r="M799" s="21"/>
      <c r="N799" s="21"/>
      <c r="O799" s="21"/>
      <c r="P799" s="21"/>
      <c r="Q799" s="19">
        <v>115.0</v>
      </c>
      <c r="R799" s="21"/>
      <c r="S799" s="21"/>
      <c r="T799" s="19">
        <v>1126.0</v>
      </c>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c r="BE799" s="21"/>
      <c r="BF799" s="21"/>
      <c r="BG799" s="21"/>
      <c r="BH799" s="21"/>
      <c r="BI799" s="21"/>
      <c r="BJ799" s="21"/>
      <c r="BK799" s="10"/>
    </row>
    <row r="800">
      <c r="A800" s="21"/>
      <c r="B800" s="21"/>
      <c r="C800" s="21"/>
      <c r="D800" s="21"/>
      <c r="E800" s="18">
        <v>10.0</v>
      </c>
      <c r="F800" s="21"/>
      <c r="G800" s="19">
        <v>202.0</v>
      </c>
      <c r="H800" s="21"/>
      <c r="I800" s="21"/>
      <c r="J800" s="21"/>
      <c r="K800" s="21"/>
      <c r="L800" s="19">
        <v>202.0</v>
      </c>
      <c r="M800" s="21"/>
      <c r="N800" s="21"/>
      <c r="O800" s="21"/>
      <c r="P800" s="21"/>
      <c r="Q800" s="19">
        <v>126.0</v>
      </c>
      <c r="R800" s="21"/>
      <c r="S800" s="21"/>
      <c r="T800" s="19">
        <v>1235.0</v>
      </c>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c r="BA800" s="21"/>
      <c r="BB800" s="21"/>
      <c r="BC800" s="21"/>
      <c r="BD800" s="21"/>
      <c r="BE800" s="21"/>
      <c r="BF800" s="21"/>
      <c r="BG800" s="21"/>
      <c r="BH800" s="21"/>
      <c r="BI800" s="21"/>
      <c r="BJ800" s="21"/>
      <c r="BK800" s="10"/>
    </row>
    <row r="801">
      <c r="A801" s="21"/>
      <c r="B801" s="21"/>
      <c r="C801" s="21"/>
      <c r="D801" s="21"/>
      <c r="E801" s="18">
        <v>11.0</v>
      </c>
      <c r="F801" s="21"/>
      <c r="G801" s="19">
        <v>222.0</v>
      </c>
      <c r="H801" s="21"/>
      <c r="I801" s="21"/>
      <c r="J801" s="21"/>
      <c r="K801" s="21"/>
      <c r="L801" s="19">
        <v>222.0</v>
      </c>
      <c r="M801" s="21"/>
      <c r="N801" s="21"/>
      <c r="O801" s="21"/>
      <c r="P801" s="21"/>
      <c r="Q801" s="19">
        <v>138.0</v>
      </c>
      <c r="R801" s="21"/>
      <c r="S801" s="21"/>
      <c r="T801" s="19">
        <v>1356.0</v>
      </c>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c r="BA801" s="21"/>
      <c r="BB801" s="21"/>
      <c r="BC801" s="21"/>
      <c r="BD801" s="21"/>
      <c r="BE801" s="21"/>
      <c r="BF801" s="21"/>
      <c r="BG801" s="21"/>
      <c r="BH801" s="21"/>
      <c r="BI801" s="21"/>
      <c r="BJ801" s="21"/>
      <c r="BK801" s="10"/>
    </row>
    <row r="802">
      <c r="A802" s="21"/>
      <c r="B802" s="21"/>
      <c r="C802" s="21"/>
      <c r="D802" s="21"/>
      <c r="E802" s="18">
        <v>12.0</v>
      </c>
      <c r="F802" s="21"/>
      <c r="G802" s="19">
        <v>244.0</v>
      </c>
      <c r="H802" s="21"/>
      <c r="I802" s="21"/>
      <c r="J802" s="21"/>
      <c r="K802" s="21"/>
      <c r="L802" s="19">
        <v>244.0</v>
      </c>
      <c r="M802" s="21"/>
      <c r="N802" s="21"/>
      <c r="O802" s="21"/>
      <c r="P802" s="21"/>
      <c r="Q802" s="19">
        <v>152.0</v>
      </c>
      <c r="R802" s="21"/>
      <c r="S802" s="21"/>
      <c r="T802" s="19">
        <v>1491.0</v>
      </c>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c r="BA802" s="21"/>
      <c r="BB802" s="21"/>
      <c r="BC802" s="21"/>
      <c r="BD802" s="21"/>
      <c r="BE802" s="21"/>
      <c r="BF802" s="21"/>
      <c r="BG802" s="21"/>
      <c r="BH802" s="21"/>
      <c r="BI802" s="21"/>
      <c r="BJ802" s="21"/>
      <c r="BK802" s="10"/>
    </row>
    <row r="803">
      <c r="A803" s="22"/>
      <c r="B803" s="22"/>
      <c r="C803" s="22"/>
      <c r="D803" s="22"/>
      <c r="E803" s="18">
        <v>13.0</v>
      </c>
      <c r="F803" s="22"/>
      <c r="G803" s="19">
        <v>268.0</v>
      </c>
      <c r="H803" s="22"/>
      <c r="I803" s="22"/>
      <c r="J803" s="22"/>
      <c r="K803" s="22"/>
      <c r="L803" s="19">
        <v>268.0</v>
      </c>
      <c r="M803" s="22"/>
      <c r="N803" s="22"/>
      <c r="O803" s="22"/>
      <c r="P803" s="22"/>
      <c r="Q803" s="19">
        <v>167.0</v>
      </c>
      <c r="R803" s="22"/>
      <c r="S803" s="22"/>
      <c r="T803" s="19">
        <v>1638.0</v>
      </c>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10"/>
    </row>
    <row r="804">
      <c r="A804" s="16" t="s">
        <v>308</v>
      </c>
      <c r="B804" s="39" t="s">
        <v>131</v>
      </c>
      <c r="C804" s="16" t="s">
        <v>84</v>
      </c>
      <c r="D804" s="16" t="s">
        <v>309</v>
      </c>
      <c r="E804" s="32">
        <v>6.0</v>
      </c>
      <c r="F804" s="16" t="s">
        <v>85</v>
      </c>
      <c r="G804" s="16" t="s">
        <v>85</v>
      </c>
      <c r="H804" s="16" t="s">
        <v>85</v>
      </c>
      <c r="I804" s="16" t="s">
        <v>85</v>
      </c>
      <c r="J804" s="16" t="s">
        <v>85</v>
      </c>
      <c r="K804" s="16" t="s">
        <v>85</v>
      </c>
      <c r="L804" s="16" t="s">
        <v>85</v>
      </c>
      <c r="M804" s="16" t="s">
        <v>85</v>
      </c>
      <c r="N804" s="16" t="s">
        <v>85</v>
      </c>
      <c r="O804" s="16" t="s">
        <v>85</v>
      </c>
      <c r="P804" s="16" t="s">
        <v>85</v>
      </c>
      <c r="Q804" s="16" t="s">
        <v>85</v>
      </c>
      <c r="R804" s="16" t="s">
        <v>85</v>
      </c>
      <c r="S804" s="16" t="s">
        <v>85</v>
      </c>
      <c r="T804" s="16" t="s">
        <v>85</v>
      </c>
      <c r="U804" s="16" t="s">
        <v>85</v>
      </c>
      <c r="V804" s="16" t="s">
        <v>85</v>
      </c>
      <c r="W804" s="16" t="s">
        <v>85</v>
      </c>
      <c r="X804" s="16" t="s">
        <v>85</v>
      </c>
      <c r="Y804" s="16" t="s">
        <v>85</v>
      </c>
      <c r="Z804" s="16" t="s">
        <v>85</v>
      </c>
      <c r="AA804" s="16" t="s">
        <v>85</v>
      </c>
      <c r="AB804" s="16" t="s">
        <v>85</v>
      </c>
      <c r="AC804" s="16" t="s">
        <v>85</v>
      </c>
      <c r="AD804" s="16" t="s">
        <v>85</v>
      </c>
      <c r="AE804" s="16" t="s">
        <v>85</v>
      </c>
      <c r="AF804" s="16" t="s">
        <v>85</v>
      </c>
      <c r="AG804" s="16" t="s">
        <v>85</v>
      </c>
      <c r="AH804" s="16" t="s">
        <v>85</v>
      </c>
      <c r="AI804" s="16" t="s">
        <v>85</v>
      </c>
      <c r="AJ804" s="16" t="s">
        <v>85</v>
      </c>
      <c r="AK804" s="16" t="s">
        <v>85</v>
      </c>
      <c r="AL804" s="16" t="s">
        <v>85</v>
      </c>
      <c r="AM804" s="16" t="s">
        <v>85</v>
      </c>
      <c r="AN804" s="16" t="s">
        <v>85</v>
      </c>
      <c r="AO804" s="16" t="s">
        <v>85</v>
      </c>
      <c r="AP804" s="16" t="s">
        <v>85</v>
      </c>
      <c r="AQ804" s="16" t="s">
        <v>85</v>
      </c>
      <c r="AR804" s="16" t="s">
        <v>85</v>
      </c>
      <c r="AS804" s="16" t="s">
        <v>85</v>
      </c>
      <c r="AT804" s="16" t="s">
        <v>85</v>
      </c>
      <c r="AU804" s="16" t="s">
        <v>85</v>
      </c>
      <c r="AV804" s="16" t="s">
        <v>85</v>
      </c>
      <c r="AW804" s="16" t="s">
        <v>85</v>
      </c>
      <c r="AX804" s="16" t="s">
        <v>85</v>
      </c>
      <c r="AY804" s="16" t="s">
        <v>85</v>
      </c>
      <c r="AZ804" s="18">
        <v>7.0</v>
      </c>
      <c r="BA804" s="18">
        <v>7.0</v>
      </c>
      <c r="BB804" s="18">
        <v>7.0</v>
      </c>
      <c r="BC804" s="18">
        <v>9.0</v>
      </c>
      <c r="BD804" s="16" t="s">
        <v>85</v>
      </c>
      <c r="BE804" s="16" t="s">
        <v>85</v>
      </c>
      <c r="BF804" s="16" t="s">
        <v>85</v>
      </c>
      <c r="BG804" s="16" t="s">
        <v>85</v>
      </c>
      <c r="BH804" s="16" t="s">
        <v>85</v>
      </c>
      <c r="BI804" s="16" t="s">
        <v>85</v>
      </c>
      <c r="BJ804" s="16" t="s">
        <v>85</v>
      </c>
      <c r="BK804" s="10"/>
    </row>
    <row r="805">
      <c r="A805" s="21"/>
      <c r="B805" s="21"/>
      <c r="C805" s="21"/>
      <c r="D805" s="21"/>
      <c r="E805" s="32">
        <v>7.0</v>
      </c>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18">
        <v>8.0</v>
      </c>
      <c r="BA805" s="18">
        <v>8.0</v>
      </c>
      <c r="BB805" s="18">
        <v>8.0</v>
      </c>
      <c r="BC805" s="18">
        <v>9.0</v>
      </c>
      <c r="BD805" s="21"/>
      <c r="BE805" s="21"/>
      <c r="BF805" s="21"/>
      <c r="BG805" s="21"/>
      <c r="BH805" s="21"/>
      <c r="BI805" s="21"/>
      <c r="BJ805" s="21"/>
      <c r="BK805" s="10"/>
    </row>
    <row r="806">
      <c r="A806" s="21"/>
      <c r="B806" s="21"/>
      <c r="C806" s="21"/>
      <c r="D806" s="21"/>
      <c r="E806" s="32">
        <v>8.0</v>
      </c>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18">
        <v>9.0</v>
      </c>
      <c r="BA806" s="18">
        <v>9.0</v>
      </c>
      <c r="BB806" s="18">
        <v>9.0</v>
      </c>
      <c r="BC806" s="18">
        <v>9.0</v>
      </c>
      <c r="BD806" s="21"/>
      <c r="BE806" s="21"/>
      <c r="BF806" s="21"/>
      <c r="BG806" s="21"/>
      <c r="BH806" s="21"/>
      <c r="BI806" s="21"/>
      <c r="BJ806" s="21"/>
      <c r="BK806" s="10"/>
    </row>
    <row r="807">
      <c r="A807" s="21"/>
      <c r="B807" s="21"/>
      <c r="C807" s="21"/>
      <c r="D807" s="21"/>
      <c r="E807" s="32">
        <v>9.0</v>
      </c>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18">
        <v>10.0</v>
      </c>
      <c r="BA807" s="18">
        <v>10.0</v>
      </c>
      <c r="BB807" s="18">
        <v>10.0</v>
      </c>
      <c r="BC807" s="18">
        <v>10.0</v>
      </c>
      <c r="BD807" s="21"/>
      <c r="BE807" s="21"/>
      <c r="BF807" s="21"/>
      <c r="BG807" s="21"/>
      <c r="BH807" s="21"/>
      <c r="BI807" s="21"/>
      <c r="BJ807" s="21"/>
      <c r="BK807" s="10"/>
    </row>
    <row r="808">
      <c r="A808" s="21"/>
      <c r="B808" s="21"/>
      <c r="C808" s="21"/>
      <c r="D808" s="21"/>
      <c r="E808" s="32">
        <v>10.0</v>
      </c>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18">
        <v>11.0</v>
      </c>
      <c r="BA808" s="18">
        <v>11.0</v>
      </c>
      <c r="BB808" s="18">
        <v>11.0</v>
      </c>
      <c r="BC808" s="18">
        <v>11.0</v>
      </c>
      <c r="BD808" s="21"/>
      <c r="BE808" s="21"/>
      <c r="BF808" s="21"/>
      <c r="BG808" s="21"/>
      <c r="BH808" s="21"/>
      <c r="BI808" s="21"/>
      <c r="BJ808" s="21"/>
      <c r="BK808" s="10"/>
    </row>
    <row r="809">
      <c r="A809" s="21"/>
      <c r="B809" s="21"/>
      <c r="C809" s="21"/>
      <c r="D809" s="21"/>
      <c r="E809" s="32">
        <v>11.0</v>
      </c>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18">
        <v>12.0</v>
      </c>
      <c r="BA809" s="18">
        <v>12.0</v>
      </c>
      <c r="BB809" s="18">
        <v>12.0</v>
      </c>
      <c r="BC809" s="18">
        <v>12.0</v>
      </c>
      <c r="BD809" s="21"/>
      <c r="BE809" s="21"/>
      <c r="BF809" s="21"/>
      <c r="BG809" s="21"/>
      <c r="BH809" s="21"/>
      <c r="BI809" s="21"/>
      <c r="BJ809" s="21"/>
      <c r="BK809" s="10"/>
    </row>
    <row r="810">
      <c r="A810" s="21"/>
      <c r="B810" s="21"/>
      <c r="C810" s="21"/>
      <c r="D810" s="21"/>
      <c r="E810" s="32">
        <v>12.0</v>
      </c>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18">
        <v>13.0</v>
      </c>
      <c r="BA810" s="18">
        <v>13.0</v>
      </c>
      <c r="BB810" s="18">
        <v>13.0</v>
      </c>
      <c r="BC810" s="18">
        <v>13.0</v>
      </c>
      <c r="BD810" s="21"/>
      <c r="BE810" s="21"/>
      <c r="BF810" s="21"/>
      <c r="BG810" s="21"/>
      <c r="BH810" s="21"/>
      <c r="BI810" s="21"/>
      <c r="BJ810" s="21"/>
      <c r="BK810" s="10"/>
    </row>
    <row r="811">
      <c r="A811" s="22"/>
      <c r="B811" s="22"/>
      <c r="C811" s="22"/>
      <c r="D811" s="22"/>
      <c r="E811" s="32">
        <v>13.0</v>
      </c>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18">
        <v>14.0</v>
      </c>
      <c r="BA811" s="18">
        <v>14.0</v>
      </c>
      <c r="BB811" s="18">
        <v>14.0</v>
      </c>
      <c r="BC811" s="18">
        <v>14.0</v>
      </c>
      <c r="BD811" s="22"/>
      <c r="BE811" s="22"/>
      <c r="BF811" s="22"/>
      <c r="BG811" s="22"/>
      <c r="BH811" s="22"/>
      <c r="BI811" s="22"/>
      <c r="BJ811" s="22"/>
      <c r="BK811" s="10"/>
    </row>
    <row r="812">
      <c r="A812" s="16" t="s">
        <v>310</v>
      </c>
      <c r="B812" s="30" t="s">
        <v>131</v>
      </c>
      <c r="C812" s="45" t="s">
        <v>87</v>
      </c>
      <c r="D812" s="45">
        <v>3.0</v>
      </c>
      <c r="E812" s="32">
        <v>6.0</v>
      </c>
      <c r="F812" s="18">
        <v>68.0</v>
      </c>
      <c r="G812" s="16" t="s">
        <v>85</v>
      </c>
      <c r="H812" s="16" t="s">
        <v>85</v>
      </c>
      <c r="I812" s="16" t="s">
        <v>85</v>
      </c>
      <c r="J812" s="16" t="s">
        <v>85</v>
      </c>
      <c r="K812" s="16" t="s">
        <v>85</v>
      </c>
      <c r="L812" s="16" t="s">
        <v>85</v>
      </c>
      <c r="M812" s="16" t="s">
        <v>85</v>
      </c>
      <c r="N812" s="16" t="s">
        <v>85</v>
      </c>
      <c r="O812" s="16" t="s">
        <v>85</v>
      </c>
      <c r="P812" s="16" t="s">
        <v>85</v>
      </c>
      <c r="Q812" s="18">
        <v>68.0</v>
      </c>
      <c r="R812" s="16" t="s">
        <v>85</v>
      </c>
      <c r="S812" s="16" t="s">
        <v>85</v>
      </c>
      <c r="T812" s="18">
        <v>51.0</v>
      </c>
      <c r="U812" s="18">
        <v>150.0</v>
      </c>
      <c r="V812" s="16" t="s">
        <v>85</v>
      </c>
      <c r="W812" s="16" t="s">
        <v>85</v>
      </c>
      <c r="X812" s="16" t="s">
        <v>85</v>
      </c>
      <c r="Y812" s="16" t="s">
        <v>85</v>
      </c>
      <c r="Z812" s="16" t="s">
        <v>85</v>
      </c>
      <c r="AA812" s="16" t="s">
        <v>85</v>
      </c>
      <c r="AB812" s="16" t="s">
        <v>85</v>
      </c>
      <c r="AC812" s="16" t="s">
        <v>85</v>
      </c>
      <c r="AD812" s="16" t="s">
        <v>85</v>
      </c>
      <c r="AE812" s="16" t="s">
        <v>88</v>
      </c>
      <c r="AF812" s="16" t="s">
        <v>98</v>
      </c>
      <c r="AG812" s="16" t="s">
        <v>90</v>
      </c>
      <c r="AH812" s="16" t="s">
        <v>85</v>
      </c>
      <c r="AI812" s="16" t="s">
        <v>91</v>
      </c>
      <c r="AJ812" s="16" t="s">
        <v>85</v>
      </c>
      <c r="AK812" s="16" t="s">
        <v>85</v>
      </c>
      <c r="AL812" s="16" t="s">
        <v>85</v>
      </c>
      <c r="AM812" s="16" t="s">
        <v>92</v>
      </c>
      <c r="AN812" s="16" t="s">
        <v>85</v>
      </c>
      <c r="AO812" s="16" t="s">
        <v>85</v>
      </c>
      <c r="AP812" s="16" t="s">
        <v>85</v>
      </c>
      <c r="AQ812" s="16" t="s">
        <v>85</v>
      </c>
      <c r="AR812" s="16" t="s">
        <v>85</v>
      </c>
      <c r="AS812" s="16" t="s">
        <v>85</v>
      </c>
      <c r="AT812" s="16" t="s">
        <v>85</v>
      </c>
      <c r="AU812" s="16" t="s">
        <v>85</v>
      </c>
      <c r="AV812" s="16" t="s">
        <v>85</v>
      </c>
      <c r="AW812" s="16" t="s">
        <v>85</v>
      </c>
      <c r="AX812" s="16" t="s">
        <v>85</v>
      </c>
      <c r="AY812" s="16" t="s">
        <v>85</v>
      </c>
      <c r="AZ812" s="16" t="s">
        <v>85</v>
      </c>
      <c r="BA812" s="16" t="s">
        <v>85</v>
      </c>
      <c r="BB812" s="16" t="s">
        <v>85</v>
      </c>
      <c r="BC812" s="16" t="s">
        <v>85</v>
      </c>
      <c r="BD812" s="16" t="s">
        <v>85</v>
      </c>
      <c r="BE812" s="16" t="s">
        <v>85</v>
      </c>
      <c r="BF812" s="16" t="s">
        <v>85</v>
      </c>
      <c r="BG812" s="16" t="s">
        <v>85</v>
      </c>
      <c r="BH812" s="16" t="s">
        <v>85</v>
      </c>
      <c r="BI812" s="16" t="s">
        <v>85</v>
      </c>
      <c r="BJ812" s="16" t="s">
        <v>85</v>
      </c>
      <c r="BK812" s="10"/>
    </row>
    <row r="813">
      <c r="A813" s="21"/>
      <c r="B813" s="21"/>
      <c r="C813" s="21"/>
      <c r="D813" s="21"/>
      <c r="E813" s="32">
        <v>7.0</v>
      </c>
      <c r="F813" s="18">
        <v>74.0</v>
      </c>
      <c r="G813" s="21"/>
      <c r="H813" s="21"/>
      <c r="I813" s="21"/>
      <c r="J813" s="21"/>
      <c r="K813" s="21"/>
      <c r="L813" s="21"/>
      <c r="M813" s="21"/>
      <c r="N813" s="21"/>
      <c r="O813" s="21"/>
      <c r="P813" s="21"/>
      <c r="Q813" s="18">
        <v>74.0</v>
      </c>
      <c r="R813" s="21"/>
      <c r="S813" s="21"/>
      <c r="T813" s="19">
        <v>56.0</v>
      </c>
      <c r="U813" s="18">
        <v>165.0</v>
      </c>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c r="BA813" s="21"/>
      <c r="BB813" s="21"/>
      <c r="BC813" s="21"/>
      <c r="BD813" s="21"/>
      <c r="BE813" s="21"/>
      <c r="BF813" s="21"/>
      <c r="BG813" s="21"/>
      <c r="BH813" s="21"/>
      <c r="BI813" s="21"/>
      <c r="BJ813" s="21"/>
      <c r="BK813" s="10"/>
    </row>
    <row r="814">
      <c r="A814" s="21"/>
      <c r="B814" s="21"/>
      <c r="C814" s="21"/>
      <c r="D814" s="21"/>
      <c r="E814" s="32">
        <v>8.0</v>
      </c>
      <c r="F814" s="18">
        <v>82.0</v>
      </c>
      <c r="G814" s="21"/>
      <c r="H814" s="21"/>
      <c r="I814" s="21"/>
      <c r="J814" s="21"/>
      <c r="K814" s="21"/>
      <c r="L814" s="21"/>
      <c r="M814" s="21"/>
      <c r="N814" s="21"/>
      <c r="O814" s="21"/>
      <c r="P814" s="21"/>
      <c r="Q814" s="18">
        <v>82.0</v>
      </c>
      <c r="R814" s="21"/>
      <c r="S814" s="21"/>
      <c r="T814" s="19">
        <v>61.0</v>
      </c>
      <c r="U814" s="18">
        <v>181.0</v>
      </c>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c r="BA814" s="21"/>
      <c r="BB814" s="21"/>
      <c r="BC814" s="21"/>
      <c r="BD814" s="21"/>
      <c r="BE814" s="21"/>
      <c r="BF814" s="21"/>
      <c r="BG814" s="21"/>
      <c r="BH814" s="21"/>
      <c r="BI814" s="21"/>
      <c r="BJ814" s="21"/>
      <c r="BK814" s="10"/>
    </row>
    <row r="815">
      <c r="A815" s="21"/>
      <c r="B815" s="21"/>
      <c r="C815" s="21"/>
      <c r="D815" s="21"/>
      <c r="E815" s="32">
        <v>9.0</v>
      </c>
      <c r="F815" s="18">
        <v>90.0</v>
      </c>
      <c r="G815" s="21"/>
      <c r="H815" s="21"/>
      <c r="I815" s="21"/>
      <c r="J815" s="21"/>
      <c r="K815" s="21"/>
      <c r="L815" s="21"/>
      <c r="M815" s="21"/>
      <c r="N815" s="21"/>
      <c r="O815" s="21"/>
      <c r="P815" s="21"/>
      <c r="Q815" s="18">
        <v>90.0</v>
      </c>
      <c r="R815" s="21"/>
      <c r="S815" s="21"/>
      <c r="T815" s="19">
        <v>67.0</v>
      </c>
      <c r="U815" s="18">
        <v>199.0</v>
      </c>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c r="BE815" s="21"/>
      <c r="BF815" s="21"/>
      <c r="BG815" s="21"/>
      <c r="BH815" s="21"/>
      <c r="BI815" s="21"/>
      <c r="BJ815" s="21"/>
      <c r="BK815" s="10"/>
    </row>
    <row r="816">
      <c r="A816" s="21"/>
      <c r="B816" s="21"/>
      <c r="C816" s="21"/>
      <c r="D816" s="21"/>
      <c r="E816" s="32">
        <v>10.0</v>
      </c>
      <c r="F816" s="18">
        <v>99.0</v>
      </c>
      <c r="G816" s="21"/>
      <c r="H816" s="21"/>
      <c r="I816" s="21"/>
      <c r="J816" s="21"/>
      <c r="K816" s="21"/>
      <c r="L816" s="21"/>
      <c r="M816" s="21"/>
      <c r="N816" s="21"/>
      <c r="O816" s="21"/>
      <c r="P816" s="21"/>
      <c r="Q816" s="18">
        <v>99.0</v>
      </c>
      <c r="R816" s="21"/>
      <c r="S816" s="21"/>
      <c r="T816" s="19">
        <v>74.0</v>
      </c>
      <c r="U816" s="18">
        <v>219.0</v>
      </c>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c r="BA816" s="21"/>
      <c r="BB816" s="21"/>
      <c r="BC816" s="21"/>
      <c r="BD816" s="21"/>
      <c r="BE816" s="21"/>
      <c r="BF816" s="21"/>
      <c r="BG816" s="21"/>
      <c r="BH816" s="21"/>
      <c r="BI816" s="21"/>
      <c r="BJ816" s="21"/>
      <c r="BK816" s="10"/>
    </row>
    <row r="817">
      <c r="A817" s="21"/>
      <c r="B817" s="21"/>
      <c r="C817" s="21"/>
      <c r="D817" s="21"/>
      <c r="E817" s="32">
        <v>11.0</v>
      </c>
      <c r="F817" s="18">
        <v>108.0</v>
      </c>
      <c r="G817" s="21"/>
      <c r="H817" s="21"/>
      <c r="I817" s="21"/>
      <c r="J817" s="21"/>
      <c r="K817" s="21"/>
      <c r="L817" s="21"/>
      <c r="M817" s="21"/>
      <c r="N817" s="21"/>
      <c r="O817" s="21"/>
      <c r="P817" s="21"/>
      <c r="Q817" s="18">
        <v>108.0</v>
      </c>
      <c r="R817" s="21"/>
      <c r="S817" s="21"/>
      <c r="T817" s="19">
        <v>81.0</v>
      </c>
      <c r="U817" s="18">
        <v>240.0</v>
      </c>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c r="BA817" s="21"/>
      <c r="BB817" s="21"/>
      <c r="BC817" s="21"/>
      <c r="BD817" s="21"/>
      <c r="BE817" s="21"/>
      <c r="BF817" s="21"/>
      <c r="BG817" s="21"/>
      <c r="BH817" s="21"/>
      <c r="BI817" s="21"/>
      <c r="BJ817" s="21"/>
      <c r="BK817" s="10"/>
    </row>
    <row r="818">
      <c r="A818" s="21"/>
      <c r="B818" s="21"/>
      <c r="C818" s="21"/>
      <c r="D818" s="21"/>
      <c r="E818" s="32">
        <v>12.0</v>
      </c>
      <c r="F818" s="18">
        <v>119.0</v>
      </c>
      <c r="G818" s="21"/>
      <c r="H818" s="21"/>
      <c r="I818" s="21"/>
      <c r="J818" s="21"/>
      <c r="K818" s="21"/>
      <c r="L818" s="21"/>
      <c r="M818" s="21"/>
      <c r="N818" s="21"/>
      <c r="O818" s="21"/>
      <c r="P818" s="21"/>
      <c r="Q818" s="18">
        <v>119.0</v>
      </c>
      <c r="R818" s="21"/>
      <c r="S818" s="21"/>
      <c r="T818" s="19">
        <v>89.0</v>
      </c>
      <c r="U818" s="18">
        <v>264.0</v>
      </c>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c r="BA818" s="21"/>
      <c r="BB818" s="21"/>
      <c r="BC818" s="21"/>
      <c r="BD818" s="21"/>
      <c r="BE818" s="21"/>
      <c r="BF818" s="21"/>
      <c r="BG818" s="21"/>
      <c r="BH818" s="21"/>
      <c r="BI818" s="21"/>
      <c r="BJ818" s="21"/>
      <c r="BK818" s="10"/>
    </row>
    <row r="819">
      <c r="A819" s="22"/>
      <c r="B819" s="22"/>
      <c r="C819" s="22"/>
      <c r="D819" s="22"/>
      <c r="E819" s="32">
        <v>13.0</v>
      </c>
      <c r="F819" s="18">
        <v>131.0</v>
      </c>
      <c r="G819" s="22"/>
      <c r="H819" s="22"/>
      <c r="I819" s="22"/>
      <c r="J819" s="22"/>
      <c r="K819" s="22"/>
      <c r="L819" s="22"/>
      <c r="M819" s="22"/>
      <c r="N819" s="22"/>
      <c r="O819" s="22"/>
      <c r="P819" s="22"/>
      <c r="Q819" s="18">
        <v>131.0</v>
      </c>
      <c r="R819" s="22"/>
      <c r="S819" s="22"/>
      <c r="T819" s="19">
        <v>98.0</v>
      </c>
      <c r="U819" s="18">
        <v>289.0</v>
      </c>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10"/>
    </row>
    <row r="820">
      <c r="A820" s="16" t="s">
        <v>311</v>
      </c>
      <c r="B820" s="37" t="s">
        <v>181</v>
      </c>
      <c r="C820" s="16" t="s">
        <v>84</v>
      </c>
      <c r="D820" s="16">
        <v>5.0</v>
      </c>
      <c r="E820" s="18">
        <v>9.0</v>
      </c>
      <c r="F820" s="16" t="s">
        <v>85</v>
      </c>
      <c r="G820" s="16" t="s">
        <v>85</v>
      </c>
      <c r="H820" s="16" t="s">
        <v>85</v>
      </c>
      <c r="I820" s="16" t="s">
        <v>85</v>
      </c>
      <c r="J820" s="16" t="s">
        <v>85</v>
      </c>
      <c r="K820" s="16" t="s">
        <v>85</v>
      </c>
      <c r="L820" s="16" t="s">
        <v>85</v>
      </c>
      <c r="M820" s="16" t="s">
        <v>85</v>
      </c>
      <c r="N820" s="16" t="s">
        <v>85</v>
      </c>
      <c r="O820" s="16" t="s">
        <v>85</v>
      </c>
      <c r="P820" s="16" t="s">
        <v>85</v>
      </c>
      <c r="Q820" s="16" t="s">
        <v>85</v>
      </c>
      <c r="R820" s="16" t="s">
        <v>85</v>
      </c>
      <c r="S820" s="16" t="s">
        <v>85</v>
      </c>
      <c r="T820" s="16" t="s">
        <v>85</v>
      </c>
      <c r="U820" s="16" t="s">
        <v>85</v>
      </c>
      <c r="V820" s="16" t="s">
        <v>85</v>
      </c>
      <c r="W820" s="16" t="s">
        <v>125</v>
      </c>
      <c r="X820" s="18">
        <v>9.0</v>
      </c>
      <c r="Y820" s="16" t="s">
        <v>85</v>
      </c>
      <c r="Z820" s="16" t="s">
        <v>85</v>
      </c>
      <c r="AA820" s="16" t="s">
        <v>85</v>
      </c>
      <c r="AB820" s="16" t="s">
        <v>85</v>
      </c>
      <c r="AC820" s="16" t="s">
        <v>185</v>
      </c>
      <c r="AD820" s="16" t="s">
        <v>85</v>
      </c>
      <c r="AE820" s="16" t="s">
        <v>85</v>
      </c>
      <c r="AF820" s="16" t="s">
        <v>85</v>
      </c>
      <c r="AG820" s="16" t="s">
        <v>85</v>
      </c>
      <c r="AH820" s="16" t="s">
        <v>85</v>
      </c>
      <c r="AI820" s="16" t="s">
        <v>85</v>
      </c>
      <c r="AJ820" s="16" t="s">
        <v>85</v>
      </c>
      <c r="AK820" s="16" t="s">
        <v>85</v>
      </c>
      <c r="AL820" s="16" t="s">
        <v>85</v>
      </c>
      <c r="AM820" s="16" t="s">
        <v>85</v>
      </c>
      <c r="AN820" s="16" t="s">
        <v>85</v>
      </c>
      <c r="AO820" s="16" t="s">
        <v>85</v>
      </c>
      <c r="AP820" s="16" t="s">
        <v>85</v>
      </c>
      <c r="AQ820" s="16" t="s">
        <v>85</v>
      </c>
      <c r="AR820" s="16" t="s">
        <v>312</v>
      </c>
      <c r="AS820" s="16" t="s">
        <v>85</v>
      </c>
      <c r="AT820" s="16" t="s">
        <v>85</v>
      </c>
      <c r="AU820" s="16" t="s">
        <v>85</v>
      </c>
      <c r="AV820" s="16" t="s">
        <v>85</v>
      </c>
      <c r="AW820" s="16" t="s">
        <v>85</v>
      </c>
      <c r="AX820" s="16" t="s">
        <v>85</v>
      </c>
      <c r="AY820" s="16" t="s">
        <v>85</v>
      </c>
      <c r="AZ820" s="16" t="s">
        <v>85</v>
      </c>
      <c r="BA820" s="16" t="s">
        <v>85</v>
      </c>
      <c r="BB820" s="16" t="s">
        <v>85</v>
      </c>
      <c r="BC820" s="16" t="s">
        <v>85</v>
      </c>
      <c r="BD820" s="16" t="s">
        <v>85</v>
      </c>
      <c r="BE820" s="16" t="s">
        <v>85</v>
      </c>
      <c r="BF820" s="16" t="s">
        <v>85</v>
      </c>
      <c r="BG820" s="16" t="s">
        <v>85</v>
      </c>
      <c r="BH820" s="40" t="s">
        <v>85</v>
      </c>
      <c r="BI820" s="40" t="s">
        <v>85</v>
      </c>
      <c r="BJ820" s="16">
        <v>4.0</v>
      </c>
      <c r="BK820" s="10"/>
    </row>
    <row r="821">
      <c r="A821" s="21"/>
      <c r="B821" s="21"/>
      <c r="C821" s="21"/>
      <c r="D821" s="21"/>
      <c r="E821" s="18">
        <v>10.0</v>
      </c>
      <c r="F821" s="21"/>
      <c r="G821" s="21"/>
      <c r="H821" s="21"/>
      <c r="I821" s="21"/>
      <c r="J821" s="21"/>
      <c r="K821" s="21"/>
      <c r="L821" s="21"/>
      <c r="M821" s="21"/>
      <c r="N821" s="21"/>
      <c r="O821" s="21"/>
      <c r="P821" s="21"/>
      <c r="Q821" s="21"/>
      <c r="R821" s="21"/>
      <c r="S821" s="21"/>
      <c r="T821" s="21"/>
      <c r="U821" s="21"/>
      <c r="V821" s="21"/>
      <c r="W821" s="21"/>
      <c r="X821" s="18">
        <v>10.0</v>
      </c>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c r="BA821" s="21"/>
      <c r="BB821" s="21"/>
      <c r="BC821" s="21"/>
      <c r="BD821" s="21"/>
      <c r="BE821" s="21"/>
      <c r="BF821" s="21"/>
      <c r="BG821" s="21"/>
      <c r="BH821" s="21"/>
      <c r="BI821" s="21"/>
      <c r="BJ821" s="21"/>
      <c r="BK821" s="10"/>
    </row>
    <row r="822">
      <c r="A822" s="21"/>
      <c r="B822" s="21"/>
      <c r="C822" s="21"/>
      <c r="D822" s="21"/>
      <c r="E822" s="18">
        <v>11.0</v>
      </c>
      <c r="F822" s="21"/>
      <c r="G822" s="21"/>
      <c r="H822" s="21"/>
      <c r="I822" s="21"/>
      <c r="J822" s="21"/>
      <c r="K822" s="21"/>
      <c r="L822" s="21"/>
      <c r="M822" s="21"/>
      <c r="N822" s="21"/>
      <c r="O822" s="21"/>
      <c r="P822" s="21"/>
      <c r="Q822" s="21"/>
      <c r="R822" s="21"/>
      <c r="S822" s="21"/>
      <c r="T822" s="21"/>
      <c r="U822" s="21"/>
      <c r="V822" s="21"/>
      <c r="W822" s="21"/>
      <c r="X822" s="18">
        <v>11.0</v>
      </c>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c r="BA822" s="21"/>
      <c r="BB822" s="21"/>
      <c r="BC822" s="21"/>
      <c r="BD822" s="21"/>
      <c r="BE822" s="21"/>
      <c r="BF822" s="21"/>
      <c r="BG822" s="21"/>
      <c r="BH822" s="21"/>
      <c r="BI822" s="21"/>
      <c r="BJ822" s="21"/>
      <c r="BK822" s="10"/>
    </row>
    <row r="823">
      <c r="A823" s="21"/>
      <c r="B823" s="21"/>
      <c r="C823" s="21"/>
      <c r="D823" s="21"/>
      <c r="E823" s="18">
        <v>12.0</v>
      </c>
      <c r="F823" s="21"/>
      <c r="G823" s="21"/>
      <c r="H823" s="21"/>
      <c r="I823" s="21"/>
      <c r="J823" s="21"/>
      <c r="K823" s="21"/>
      <c r="L823" s="21"/>
      <c r="M823" s="21"/>
      <c r="N823" s="21"/>
      <c r="O823" s="21"/>
      <c r="P823" s="21"/>
      <c r="Q823" s="21"/>
      <c r="R823" s="21"/>
      <c r="S823" s="21"/>
      <c r="T823" s="21"/>
      <c r="U823" s="21"/>
      <c r="V823" s="21"/>
      <c r="W823" s="21"/>
      <c r="X823" s="18">
        <v>12.0</v>
      </c>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c r="BA823" s="21"/>
      <c r="BB823" s="21"/>
      <c r="BC823" s="21"/>
      <c r="BD823" s="21"/>
      <c r="BE823" s="21"/>
      <c r="BF823" s="21"/>
      <c r="BG823" s="21"/>
      <c r="BH823" s="21"/>
      <c r="BI823" s="21"/>
      <c r="BJ823" s="21"/>
      <c r="BK823" s="10"/>
    </row>
    <row r="824">
      <c r="A824" s="22"/>
      <c r="B824" s="22"/>
      <c r="C824" s="22"/>
      <c r="D824" s="22"/>
      <c r="E824" s="18">
        <v>13.0</v>
      </c>
      <c r="F824" s="22"/>
      <c r="G824" s="22"/>
      <c r="H824" s="22"/>
      <c r="I824" s="22"/>
      <c r="J824" s="22"/>
      <c r="K824" s="22"/>
      <c r="L824" s="22"/>
      <c r="M824" s="22"/>
      <c r="N824" s="22"/>
      <c r="O824" s="22"/>
      <c r="P824" s="22"/>
      <c r="Q824" s="22"/>
      <c r="R824" s="22"/>
      <c r="S824" s="22"/>
      <c r="T824" s="22"/>
      <c r="U824" s="22"/>
      <c r="V824" s="22"/>
      <c r="W824" s="22"/>
      <c r="X824" s="18">
        <v>13.0</v>
      </c>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10"/>
    </row>
    <row r="825">
      <c r="A825" s="16" t="s">
        <v>313</v>
      </c>
      <c r="B825" s="35" t="s">
        <v>181</v>
      </c>
      <c r="C825" s="16" t="s">
        <v>87</v>
      </c>
      <c r="D825" s="16">
        <v>3.0</v>
      </c>
      <c r="E825" s="18">
        <v>9.0</v>
      </c>
      <c r="F825" s="16" t="s">
        <v>85</v>
      </c>
      <c r="G825" s="18">
        <v>216.0</v>
      </c>
      <c r="H825" s="16" t="s">
        <v>85</v>
      </c>
      <c r="I825" s="16" t="s">
        <v>85</v>
      </c>
      <c r="J825" s="16" t="s">
        <v>85</v>
      </c>
      <c r="K825" s="16" t="s">
        <v>85</v>
      </c>
      <c r="L825" s="16" t="s">
        <v>85</v>
      </c>
      <c r="M825" s="16" t="s">
        <v>85</v>
      </c>
      <c r="N825" s="16" t="s">
        <v>85</v>
      </c>
      <c r="O825" s="16" t="s">
        <v>85</v>
      </c>
      <c r="P825" s="16" t="s">
        <v>85</v>
      </c>
      <c r="Q825" s="18">
        <v>120.0</v>
      </c>
      <c r="R825" s="16" t="s">
        <v>85</v>
      </c>
      <c r="S825" s="16" t="s">
        <v>85</v>
      </c>
      <c r="T825" s="18">
        <v>1000.0</v>
      </c>
      <c r="U825" s="16" t="s">
        <v>85</v>
      </c>
      <c r="V825" s="16" t="s">
        <v>85</v>
      </c>
      <c r="W825" s="16" t="s">
        <v>85</v>
      </c>
      <c r="X825" s="16" t="s">
        <v>85</v>
      </c>
      <c r="Y825" s="16" t="s">
        <v>85</v>
      </c>
      <c r="Z825" s="16" t="s">
        <v>85</v>
      </c>
      <c r="AA825" s="16" t="s">
        <v>85</v>
      </c>
      <c r="AB825" s="16" t="s">
        <v>85</v>
      </c>
      <c r="AC825" s="16" t="s">
        <v>85</v>
      </c>
      <c r="AD825" s="16" t="s">
        <v>85</v>
      </c>
      <c r="AE825" s="16" t="s">
        <v>124</v>
      </c>
      <c r="AF825" s="16" t="s">
        <v>98</v>
      </c>
      <c r="AG825" s="16" t="s">
        <v>90</v>
      </c>
      <c r="AH825" s="16" t="s">
        <v>85</v>
      </c>
      <c r="AI825" s="16" t="s">
        <v>99</v>
      </c>
      <c r="AJ825" s="16" t="s">
        <v>85</v>
      </c>
      <c r="AK825" s="16" t="s">
        <v>85</v>
      </c>
      <c r="AL825" s="16" t="s">
        <v>85</v>
      </c>
      <c r="AM825" s="16" t="s">
        <v>85</v>
      </c>
      <c r="AN825" s="16" t="s">
        <v>85</v>
      </c>
      <c r="AO825" s="16" t="s">
        <v>85</v>
      </c>
      <c r="AP825" s="16" t="s">
        <v>85</v>
      </c>
      <c r="AQ825" s="16" t="s">
        <v>85</v>
      </c>
      <c r="AR825" s="16" t="s">
        <v>85</v>
      </c>
      <c r="AS825" s="16" t="s">
        <v>85</v>
      </c>
      <c r="AT825" s="16" t="s">
        <v>85</v>
      </c>
      <c r="AU825" s="16" t="s">
        <v>85</v>
      </c>
      <c r="AV825" s="16" t="s">
        <v>85</v>
      </c>
      <c r="AW825" s="16" t="s">
        <v>85</v>
      </c>
      <c r="AX825" s="16" t="s">
        <v>85</v>
      </c>
      <c r="AY825" s="16" t="s">
        <v>85</v>
      </c>
      <c r="AZ825" s="16" t="s">
        <v>85</v>
      </c>
      <c r="BA825" s="16" t="s">
        <v>85</v>
      </c>
      <c r="BB825" s="16" t="s">
        <v>85</v>
      </c>
      <c r="BC825" s="16" t="s">
        <v>85</v>
      </c>
      <c r="BD825" s="16" t="s">
        <v>85</v>
      </c>
      <c r="BE825" s="16" t="s">
        <v>85</v>
      </c>
      <c r="BF825" s="16" t="s">
        <v>85</v>
      </c>
      <c r="BG825" s="16" t="s">
        <v>85</v>
      </c>
      <c r="BH825" s="16" t="s">
        <v>85</v>
      </c>
      <c r="BI825" s="16" t="s">
        <v>85</v>
      </c>
      <c r="BJ825" s="16" t="s">
        <v>85</v>
      </c>
      <c r="BK825" s="10"/>
    </row>
    <row r="826">
      <c r="A826" s="21"/>
      <c r="B826" s="21"/>
      <c r="C826" s="21"/>
      <c r="D826" s="21"/>
      <c r="E826" s="18">
        <v>10.0</v>
      </c>
      <c r="F826" s="21"/>
      <c r="G826" s="19">
        <v>237.0</v>
      </c>
      <c r="H826" s="21"/>
      <c r="I826" s="21"/>
      <c r="J826" s="21"/>
      <c r="K826" s="21"/>
      <c r="L826" s="21"/>
      <c r="M826" s="21"/>
      <c r="N826" s="21"/>
      <c r="O826" s="21"/>
      <c r="P826" s="21"/>
      <c r="Q826" s="18">
        <v>131.0</v>
      </c>
      <c r="R826" s="21"/>
      <c r="S826" s="21"/>
      <c r="T826" s="19">
        <v>1100.0</v>
      </c>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c r="BA826" s="21"/>
      <c r="BB826" s="21"/>
      <c r="BC826" s="21"/>
      <c r="BD826" s="21"/>
      <c r="BE826" s="21"/>
      <c r="BF826" s="21"/>
      <c r="BG826" s="21"/>
      <c r="BH826" s="21"/>
      <c r="BI826" s="21"/>
      <c r="BJ826" s="21"/>
      <c r="BK826" s="10"/>
    </row>
    <row r="827">
      <c r="A827" s="21"/>
      <c r="B827" s="21"/>
      <c r="C827" s="21"/>
      <c r="D827" s="21"/>
      <c r="E827" s="18">
        <v>11.0</v>
      </c>
      <c r="F827" s="21"/>
      <c r="G827" s="19">
        <v>261.0</v>
      </c>
      <c r="H827" s="21"/>
      <c r="I827" s="21"/>
      <c r="J827" s="21"/>
      <c r="K827" s="21"/>
      <c r="L827" s="21"/>
      <c r="M827" s="21"/>
      <c r="N827" s="21"/>
      <c r="O827" s="21"/>
      <c r="P827" s="21"/>
      <c r="Q827" s="18">
        <v>145.0</v>
      </c>
      <c r="R827" s="21"/>
      <c r="S827" s="21"/>
      <c r="T827" s="19">
        <v>1210.0</v>
      </c>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c r="BA827" s="21"/>
      <c r="BB827" s="21"/>
      <c r="BC827" s="21"/>
      <c r="BD827" s="21"/>
      <c r="BE827" s="21"/>
      <c r="BF827" s="21"/>
      <c r="BG827" s="21"/>
      <c r="BH827" s="21"/>
      <c r="BI827" s="21"/>
      <c r="BJ827" s="21"/>
      <c r="BK827" s="10"/>
    </row>
    <row r="828">
      <c r="A828" s="21"/>
      <c r="B828" s="21"/>
      <c r="C828" s="21"/>
      <c r="D828" s="21"/>
      <c r="E828" s="18">
        <v>12.0</v>
      </c>
      <c r="F828" s="21"/>
      <c r="G828" s="19">
        <v>287.0</v>
      </c>
      <c r="H828" s="21"/>
      <c r="I828" s="21"/>
      <c r="J828" s="21"/>
      <c r="K828" s="21"/>
      <c r="L828" s="21"/>
      <c r="M828" s="21"/>
      <c r="N828" s="21"/>
      <c r="O828" s="21"/>
      <c r="P828" s="21"/>
      <c r="Q828" s="18">
        <v>159.0</v>
      </c>
      <c r="R828" s="21"/>
      <c r="S828" s="21"/>
      <c r="T828" s="19">
        <v>1330.0</v>
      </c>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c r="BA828" s="21"/>
      <c r="BB828" s="21"/>
      <c r="BC828" s="21"/>
      <c r="BD828" s="21"/>
      <c r="BE828" s="21"/>
      <c r="BF828" s="21"/>
      <c r="BG828" s="21"/>
      <c r="BH828" s="21"/>
      <c r="BI828" s="21"/>
      <c r="BJ828" s="21"/>
      <c r="BK828" s="10"/>
    </row>
    <row r="829">
      <c r="A829" s="22"/>
      <c r="B829" s="22"/>
      <c r="C829" s="22"/>
      <c r="D829" s="22"/>
      <c r="E829" s="18">
        <v>13.0</v>
      </c>
      <c r="F829" s="22"/>
      <c r="G829" s="19">
        <v>315.0</v>
      </c>
      <c r="H829" s="22"/>
      <c r="I829" s="22"/>
      <c r="J829" s="22"/>
      <c r="K829" s="22"/>
      <c r="L829" s="22"/>
      <c r="M829" s="22"/>
      <c r="N829" s="22"/>
      <c r="O829" s="22"/>
      <c r="P829" s="22"/>
      <c r="Q829" s="18">
        <v>175.0</v>
      </c>
      <c r="R829" s="22"/>
      <c r="S829" s="22"/>
      <c r="T829" s="19">
        <v>1460.0</v>
      </c>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10"/>
    </row>
    <row r="830">
      <c r="A830" s="12" t="s">
        <v>314</v>
      </c>
      <c r="B830" s="13" t="s">
        <v>315</v>
      </c>
      <c r="C830" s="14"/>
      <c r="D830" s="14"/>
      <c r="E830" s="15"/>
      <c r="F830" s="29"/>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5"/>
      <c r="BK830" s="10"/>
    </row>
    <row r="831">
      <c r="A831" s="16" t="s">
        <v>316</v>
      </c>
      <c r="B831" s="17" t="s">
        <v>83</v>
      </c>
      <c r="C831" s="16" t="s">
        <v>87</v>
      </c>
      <c r="D831" s="16">
        <v>5.0</v>
      </c>
      <c r="E831" s="18">
        <v>1.0</v>
      </c>
      <c r="F831" s="16" t="s">
        <v>85</v>
      </c>
      <c r="G831" s="16" t="s">
        <v>85</v>
      </c>
      <c r="H831" s="16" t="s">
        <v>85</v>
      </c>
      <c r="I831" s="16" t="s">
        <v>85</v>
      </c>
      <c r="J831" s="16" t="s">
        <v>85</v>
      </c>
      <c r="K831" s="16" t="s">
        <v>85</v>
      </c>
      <c r="L831" s="16" t="s">
        <v>85</v>
      </c>
      <c r="M831" s="16" t="s">
        <v>85</v>
      </c>
      <c r="N831" s="16" t="s">
        <v>85</v>
      </c>
      <c r="O831" s="16" t="s">
        <v>85</v>
      </c>
      <c r="P831" s="16" t="s">
        <v>85</v>
      </c>
      <c r="Q831" s="16" t="s">
        <v>85</v>
      </c>
      <c r="R831" s="16" t="s">
        <v>85</v>
      </c>
      <c r="S831" s="16" t="s">
        <v>85</v>
      </c>
      <c r="T831" s="16" t="s">
        <v>85</v>
      </c>
      <c r="U831" s="16" t="s">
        <v>85</v>
      </c>
      <c r="V831" s="16" t="s">
        <v>85</v>
      </c>
      <c r="W831" s="16" t="s">
        <v>317</v>
      </c>
      <c r="X831" s="18">
        <v>1.0</v>
      </c>
      <c r="Y831" s="16" t="s">
        <v>85</v>
      </c>
      <c r="Z831" s="16" t="s">
        <v>85</v>
      </c>
      <c r="AA831" s="16" t="s">
        <v>85</v>
      </c>
      <c r="AB831" s="16" t="s">
        <v>85</v>
      </c>
      <c r="AC831" s="16" t="s">
        <v>85</v>
      </c>
      <c r="AD831" s="16" t="s">
        <v>85</v>
      </c>
      <c r="AE831" s="16" t="s">
        <v>85</v>
      </c>
      <c r="AF831" s="16" t="s">
        <v>85</v>
      </c>
      <c r="AG831" s="16" t="s">
        <v>85</v>
      </c>
      <c r="AH831" s="16" t="s">
        <v>85</v>
      </c>
      <c r="AI831" s="16" t="s">
        <v>85</v>
      </c>
      <c r="AJ831" s="16" t="s">
        <v>85</v>
      </c>
      <c r="AK831" s="16" t="s">
        <v>85</v>
      </c>
      <c r="AL831" s="16" t="s">
        <v>85</v>
      </c>
      <c r="AM831" s="16" t="s">
        <v>85</v>
      </c>
      <c r="AN831" s="16" t="s">
        <v>120</v>
      </c>
      <c r="AO831" s="16" t="s">
        <v>318</v>
      </c>
      <c r="AP831" s="18">
        <v>1.0</v>
      </c>
      <c r="AQ831" s="16" t="s">
        <v>96</v>
      </c>
      <c r="AR831" s="16" t="s">
        <v>85</v>
      </c>
      <c r="AS831" s="16" t="s">
        <v>85</v>
      </c>
      <c r="AT831" s="16" t="s">
        <v>85</v>
      </c>
      <c r="AU831" s="16" t="s">
        <v>85</v>
      </c>
      <c r="AV831" s="16" t="s">
        <v>85</v>
      </c>
      <c r="AW831" s="16" t="s">
        <v>85</v>
      </c>
      <c r="AX831" s="16" t="s">
        <v>85</v>
      </c>
      <c r="AY831" s="16" t="s">
        <v>85</v>
      </c>
      <c r="AZ831" s="16" t="s">
        <v>85</v>
      </c>
      <c r="BA831" s="16" t="s">
        <v>85</v>
      </c>
      <c r="BB831" s="16" t="s">
        <v>85</v>
      </c>
      <c r="BC831" s="16" t="s">
        <v>85</v>
      </c>
      <c r="BD831" s="16" t="s">
        <v>85</v>
      </c>
      <c r="BE831" s="16" t="s">
        <v>85</v>
      </c>
      <c r="BF831" s="16" t="s">
        <v>85</v>
      </c>
      <c r="BG831" s="16" t="s">
        <v>85</v>
      </c>
      <c r="BH831" s="16" t="s">
        <v>85</v>
      </c>
      <c r="BI831" s="16" t="s">
        <v>85</v>
      </c>
      <c r="BJ831" s="16" t="s">
        <v>85</v>
      </c>
      <c r="BK831" s="10"/>
    </row>
    <row r="832">
      <c r="A832" s="21"/>
      <c r="B832" s="21"/>
      <c r="C832" s="21"/>
      <c r="D832" s="21"/>
      <c r="E832" s="18">
        <v>2.0</v>
      </c>
      <c r="F832" s="21"/>
      <c r="G832" s="21"/>
      <c r="H832" s="21"/>
      <c r="I832" s="21"/>
      <c r="J832" s="21"/>
      <c r="K832" s="21"/>
      <c r="L832" s="21"/>
      <c r="M832" s="21"/>
      <c r="N832" s="21"/>
      <c r="O832" s="21"/>
      <c r="P832" s="21"/>
      <c r="Q832" s="21"/>
      <c r="R832" s="21"/>
      <c r="S832" s="21"/>
      <c r="T832" s="21"/>
      <c r="U832" s="21"/>
      <c r="V832" s="21"/>
      <c r="W832" s="21"/>
      <c r="X832" s="18">
        <v>2.0</v>
      </c>
      <c r="Y832" s="21"/>
      <c r="Z832" s="21"/>
      <c r="AA832" s="21"/>
      <c r="AB832" s="21"/>
      <c r="AC832" s="21"/>
      <c r="AD832" s="21"/>
      <c r="AE832" s="21"/>
      <c r="AF832" s="21"/>
      <c r="AG832" s="21"/>
      <c r="AH832" s="21"/>
      <c r="AI832" s="21"/>
      <c r="AJ832" s="21"/>
      <c r="AK832" s="21"/>
      <c r="AL832" s="21"/>
      <c r="AM832" s="21"/>
      <c r="AN832" s="21"/>
      <c r="AO832" s="21"/>
      <c r="AP832" s="18">
        <v>2.0</v>
      </c>
      <c r="AQ832" s="21"/>
      <c r="AR832" s="21"/>
      <c r="AS832" s="21"/>
      <c r="AT832" s="21"/>
      <c r="AU832" s="21"/>
      <c r="AV832" s="21"/>
      <c r="AW832" s="21"/>
      <c r="AX832" s="21"/>
      <c r="AY832" s="21"/>
      <c r="AZ832" s="21"/>
      <c r="BA832" s="21"/>
      <c r="BB832" s="21"/>
      <c r="BC832" s="21"/>
      <c r="BD832" s="21"/>
      <c r="BE832" s="21"/>
      <c r="BF832" s="21"/>
      <c r="BG832" s="21"/>
      <c r="BH832" s="21"/>
      <c r="BI832" s="21"/>
      <c r="BJ832" s="21"/>
      <c r="BK832" s="10"/>
    </row>
    <row r="833">
      <c r="A833" s="21"/>
      <c r="B833" s="21"/>
      <c r="C833" s="21"/>
      <c r="D833" s="21"/>
      <c r="E833" s="18">
        <v>3.0</v>
      </c>
      <c r="F833" s="21"/>
      <c r="G833" s="21"/>
      <c r="H833" s="21"/>
      <c r="I833" s="21"/>
      <c r="J833" s="21"/>
      <c r="K833" s="21"/>
      <c r="L833" s="21"/>
      <c r="M833" s="21"/>
      <c r="N833" s="21"/>
      <c r="O833" s="21"/>
      <c r="P833" s="21"/>
      <c r="Q833" s="21"/>
      <c r="R833" s="21"/>
      <c r="S833" s="21"/>
      <c r="T833" s="21"/>
      <c r="U833" s="21"/>
      <c r="V833" s="21"/>
      <c r="W833" s="21"/>
      <c r="X833" s="18">
        <v>3.0</v>
      </c>
      <c r="Y833" s="21"/>
      <c r="Z833" s="21"/>
      <c r="AA833" s="21"/>
      <c r="AB833" s="21"/>
      <c r="AC833" s="21"/>
      <c r="AD833" s="21"/>
      <c r="AE833" s="21"/>
      <c r="AF833" s="21"/>
      <c r="AG833" s="21"/>
      <c r="AH833" s="21"/>
      <c r="AI833" s="21"/>
      <c r="AJ833" s="21"/>
      <c r="AK833" s="21"/>
      <c r="AL833" s="21"/>
      <c r="AM833" s="21"/>
      <c r="AN833" s="21"/>
      <c r="AO833" s="21"/>
      <c r="AP833" s="18">
        <v>3.0</v>
      </c>
      <c r="AQ833" s="21"/>
      <c r="AR833" s="21"/>
      <c r="AS833" s="21"/>
      <c r="AT833" s="21"/>
      <c r="AU833" s="21"/>
      <c r="AV833" s="21"/>
      <c r="AW833" s="21"/>
      <c r="AX833" s="21"/>
      <c r="AY833" s="21"/>
      <c r="AZ833" s="21"/>
      <c r="BA833" s="21"/>
      <c r="BB833" s="21"/>
      <c r="BC833" s="21"/>
      <c r="BD833" s="21"/>
      <c r="BE833" s="21"/>
      <c r="BF833" s="21"/>
      <c r="BG833" s="21"/>
      <c r="BH833" s="21"/>
      <c r="BI833" s="21"/>
      <c r="BJ833" s="21"/>
      <c r="BK833" s="10"/>
    </row>
    <row r="834">
      <c r="A834" s="21"/>
      <c r="B834" s="21"/>
      <c r="C834" s="21"/>
      <c r="D834" s="21"/>
      <c r="E834" s="18">
        <v>4.0</v>
      </c>
      <c r="F834" s="21"/>
      <c r="G834" s="21"/>
      <c r="H834" s="21"/>
      <c r="I834" s="21"/>
      <c r="J834" s="21"/>
      <c r="K834" s="21"/>
      <c r="L834" s="21"/>
      <c r="M834" s="21"/>
      <c r="N834" s="21"/>
      <c r="O834" s="21"/>
      <c r="P834" s="21"/>
      <c r="Q834" s="21"/>
      <c r="R834" s="21"/>
      <c r="S834" s="21"/>
      <c r="T834" s="21"/>
      <c r="U834" s="21"/>
      <c r="V834" s="21"/>
      <c r="W834" s="21"/>
      <c r="X834" s="18">
        <v>4.0</v>
      </c>
      <c r="Y834" s="21"/>
      <c r="Z834" s="21"/>
      <c r="AA834" s="21"/>
      <c r="AB834" s="21"/>
      <c r="AC834" s="21"/>
      <c r="AD834" s="21"/>
      <c r="AE834" s="21"/>
      <c r="AF834" s="21"/>
      <c r="AG834" s="21"/>
      <c r="AH834" s="21"/>
      <c r="AI834" s="21"/>
      <c r="AJ834" s="21"/>
      <c r="AK834" s="21"/>
      <c r="AL834" s="21"/>
      <c r="AM834" s="21"/>
      <c r="AN834" s="21"/>
      <c r="AO834" s="21"/>
      <c r="AP834" s="18">
        <v>4.0</v>
      </c>
      <c r="AQ834" s="21"/>
      <c r="AR834" s="21"/>
      <c r="AS834" s="21"/>
      <c r="AT834" s="21"/>
      <c r="AU834" s="21"/>
      <c r="AV834" s="21"/>
      <c r="AW834" s="21"/>
      <c r="AX834" s="21"/>
      <c r="AY834" s="21"/>
      <c r="AZ834" s="21"/>
      <c r="BA834" s="21"/>
      <c r="BB834" s="21"/>
      <c r="BC834" s="21"/>
      <c r="BD834" s="21"/>
      <c r="BE834" s="21"/>
      <c r="BF834" s="21"/>
      <c r="BG834" s="21"/>
      <c r="BH834" s="21"/>
      <c r="BI834" s="21"/>
      <c r="BJ834" s="21"/>
      <c r="BK834" s="10"/>
    </row>
    <row r="835">
      <c r="A835" s="21"/>
      <c r="B835" s="21"/>
      <c r="C835" s="21"/>
      <c r="D835" s="21"/>
      <c r="E835" s="18">
        <v>5.0</v>
      </c>
      <c r="F835" s="21"/>
      <c r="G835" s="21"/>
      <c r="H835" s="21"/>
      <c r="I835" s="21"/>
      <c r="J835" s="21"/>
      <c r="K835" s="21"/>
      <c r="L835" s="21"/>
      <c r="M835" s="21"/>
      <c r="N835" s="21"/>
      <c r="O835" s="21"/>
      <c r="P835" s="21"/>
      <c r="Q835" s="21"/>
      <c r="R835" s="21"/>
      <c r="S835" s="21"/>
      <c r="T835" s="21"/>
      <c r="U835" s="21"/>
      <c r="V835" s="21"/>
      <c r="W835" s="21"/>
      <c r="X835" s="18">
        <v>5.0</v>
      </c>
      <c r="Y835" s="21"/>
      <c r="Z835" s="21"/>
      <c r="AA835" s="21"/>
      <c r="AB835" s="21"/>
      <c r="AC835" s="21"/>
      <c r="AD835" s="21"/>
      <c r="AE835" s="21"/>
      <c r="AF835" s="21"/>
      <c r="AG835" s="21"/>
      <c r="AH835" s="21"/>
      <c r="AI835" s="21"/>
      <c r="AJ835" s="21"/>
      <c r="AK835" s="21"/>
      <c r="AL835" s="21"/>
      <c r="AM835" s="21"/>
      <c r="AN835" s="21"/>
      <c r="AO835" s="21"/>
      <c r="AP835" s="18">
        <v>5.0</v>
      </c>
      <c r="AQ835" s="21"/>
      <c r="AR835" s="21"/>
      <c r="AS835" s="21"/>
      <c r="AT835" s="21"/>
      <c r="AU835" s="21"/>
      <c r="AV835" s="21"/>
      <c r="AW835" s="21"/>
      <c r="AX835" s="21"/>
      <c r="AY835" s="21"/>
      <c r="AZ835" s="21"/>
      <c r="BA835" s="21"/>
      <c r="BB835" s="21"/>
      <c r="BC835" s="21"/>
      <c r="BD835" s="21"/>
      <c r="BE835" s="21"/>
      <c r="BF835" s="21"/>
      <c r="BG835" s="21"/>
      <c r="BH835" s="21"/>
      <c r="BI835" s="21"/>
      <c r="BJ835" s="21"/>
      <c r="BK835" s="10"/>
    </row>
    <row r="836">
      <c r="A836" s="21"/>
      <c r="B836" s="21"/>
      <c r="C836" s="21"/>
      <c r="D836" s="21"/>
      <c r="E836" s="18">
        <v>6.0</v>
      </c>
      <c r="F836" s="21"/>
      <c r="G836" s="21"/>
      <c r="H836" s="21"/>
      <c r="I836" s="21"/>
      <c r="J836" s="21"/>
      <c r="K836" s="21"/>
      <c r="L836" s="21"/>
      <c r="M836" s="21"/>
      <c r="N836" s="21"/>
      <c r="O836" s="21"/>
      <c r="P836" s="21"/>
      <c r="Q836" s="21"/>
      <c r="R836" s="21"/>
      <c r="S836" s="21"/>
      <c r="T836" s="21"/>
      <c r="U836" s="21"/>
      <c r="V836" s="21"/>
      <c r="W836" s="21"/>
      <c r="X836" s="18">
        <v>6.0</v>
      </c>
      <c r="Y836" s="21"/>
      <c r="Z836" s="21"/>
      <c r="AA836" s="21"/>
      <c r="AB836" s="21"/>
      <c r="AC836" s="21"/>
      <c r="AD836" s="21"/>
      <c r="AE836" s="21"/>
      <c r="AF836" s="21"/>
      <c r="AG836" s="21"/>
      <c r="AH836" s="21"/>
      <c r="AI836" s="21"/>
      <c r="AJ836" s="21"/>
      <c r="AK836" s="21"/>
      <c r="AL836" s="21"/>
      <c r="AM836" s="21"/>
      <c r="AN836" s="21"/>
      <c r="AO836" s="21"/>
      <c r="AP836" s="18">
        <v>6.0</v>
      </c>
      <c r="AQ836" s="21"/>
      <c r="AR836" s="21"/>
      <c r="AS836" s="21"/>
      <c r="AT836" s="21"/>
      <c r="AU836" s="21"/>
      <c r="AV836" s="21"/>
      <c r="AW836" s="21"/>
      <c r="AX836" s="21"/>
      <c r="AY836" s="21"/>
      <c r="AZ836" s="21"/>
      <c r="BA836" s="21"/>
      <c r="BB836" s="21"/>
      <c r="BC836" s="21"/>
      <c r="BD836" s="21"/>
      <c r="BE836" s="21"/>
      <c r="BF836" s="21"/>
      <c r="BG836" s="21"/>
      <c r="BH836" s="21"/>
      <c r="BI836" s="21"/>
      <c r="BJ836" s="21"/>
      <c r="BK836" s="10"/>
    </row>
    <row r="837">
      <c r="A837" s="21"/>
      <c r="B837" s="21"/>
      <c r="C837" s="21"/>
      <c r="D837" s="21"/>
      <c r="E837" s="18">
        <v>7.0</v>
      </c>
      <c r="F837" s="21"/>
      <c r="G837" s="21"/>
      <c r="H837" s="21"/>
      <c r="I837" s="21"/>
      <c r="J837" s="21"/>
      <c r="K837" s="21"/>
      <c r="L837" s="21"/>
      <c r="M837" s="21"/>
      <c r="N837" s="21"/>
      <c r="O837" s="21"/>
      <c r="P837" s="21"/>
      <c r="Q837" s="21"/>
      <c r="R837" s="21"/>
      <c r="S837" s="21"/>
      <c r="T837" s="21"/>
      <c r="U837" s="21"/>
      <c r="V837" s="21"/>
      <c r="W837" s="21"/>
      <c r="X837" s="18">
        <v>7.0</v>
      </c>
      <c r="Y837" s="21"/>
      <c r="Z837" s="21"/>
      <c r="AA837" s="21"/>
      <c r="AB837" s="21"/>
      <c r="AC837" s="21"/>
      <c r="AD837" s="21"/>
      <c r="AE837" s="21"/>
      <c r="AF837" s="21"/>
      <c r="AG837" s="21"/>
      <c r="AH837" s="21"/>
      <c r="AI837" s="21"/>
      <c r="AJ837" s="21"/>
      <c r="AK837" s="21"/>
      <c r="AL837" s="21"/>
      <c r="AM837" s="21"/>
      <c r="AN837" s="21"/>
      <c r="AO837" s="21"/>
      <c r="AP837" s="18">
        <v>7.0</v>
      </c>
      <c r="AQ837" s="21"/>
      <c r="AR837" s="21"/>
      <c r="AS837" s="21"/>
      <c r="AT837" s="21"/>
      <c r="AU837" s="21"/>
      <c r="AV837" s="21"/>
      <c r="AW837" s="21"/>
      <c r="AX837" s="21"/>
      <c r="AY837" s="21"/>
      <c r="AZ837" s="21"/>
      <c r="BA837" s="21"/>
      <c r="BB837" s="21"/>
      <c r="BC837" s="21"/>
      <c r="BD837" s="21"/>
      <c r="BE837" s="21"/>
      <c r="BF837" s="21"/>
      <c r="BG837" s="21"/>
      <c r="BH837" s="21"/>
      <c r="BI837" s="21"/>
      <c r="BJ837" s="21"/>
      <c r="BK837" s="10"/>
    </row>
    <row r="838">
      <c r="A838" s="21"/>
      <c r="B838" s="21"/>
      <c r="C838" s="21"/>
      <c r="D838" s="21"/>
      <c r="E838" s="18">
        <v>8.0</v>
      </c>
      <c r="F838" s="21"/>
      <c r="G838" s="21"/>
      <c r="H838" s="21"/>
      <c r="I838" s="21"/>
      <c r="J838" s="21"/>
      <c r="K838" s="21"/>
      <c r="L838" s="21"/>
      <c r="M838" s="21"/>
      <c r="N838" s="21"/>
      <c r="O838" s="21"/>
      <c r="P838" s="21"/>
      <c r="Q838" s="21"/>
      <c r="R838" s="21"/>
      <c r="S838" s="21"/>
      <c r="T838" s="21"/>
      <c r="U838" s="21"/>
      <c r="V838" s="21"/>
      <c r="W838" s="21"/>
      <c r="X838" s="18">
        <v>8.0</v>
      </c>
      <c r="Y838" s="21"/>
      <c r="Z838" s="21"/>
      <c r="AA838" s="21"/>
      <c r="AB838" s="21"/>
      <c r="AC838" s="21"/>
      <c r="AD838" s="21"/>
      <c r="AE838" s="21"/>
      <c r="AF838" s="21"/>
      <c r="AG838" s="21"/>
      <c r="AH838" s="21"/>
      <c r="AI838" s="21"/>
      <c r="AJ838" s="21"/>
      <c r="AK838" s="21"/>
      <c r="AL838" s="21"/>
      <c r="AM838" s="21"/>
      <c r="AN838" s="21"/>
      <c r="AO838" s="21"/>
      <c r="AP838" s="18">
        <v>8.0</v>
      </c>
      <c r="AQ838" s="21"/>
      <c r="AR838" s="21"/>
      <c r="AS838" s="21"/>
      <c r="AT838" s="21"/>
      <c r="AU838" s="21"/>
      <c r="AV838" s="21"/>
      <c r="AW838" s="21"/>
      <c r="AX838" s="21"/>
      <c r="AY838" s="21"/>
      <c r="AZ838" s="21"/>
      <c r="BA838" s="21"/>
      <c r="BB838" s="21"/>
      <c r="BC838" s="21"/>
      <c r="BD838" s="21"/>
      <c r="BE838" s="21"/>
      <c r="BF838" s="21"/>
      <c r="BG838" s="21"/>
      <c r="BH838" s="21"/>
      <c r="BI838" s="21"/>
      <c r="BJ838" s="21"/>
      <c r="BK838" s="10"/>
    </row>
    <row r="839">
      <c r="A839" s="21"/>
      <c r="B839" s="21"/>
      <c r="C839" s="21"/>
      <c r="D839" s="21"/>
      <c r="E839" s="18">
        <v>9.0</v>
      </c>
      <c r="F839" s="21"/>
      <c r="G839" s="21"/>
      <c r="H839" s="21"/>
      <c r="I839" s="21"/>
      <c r="J839" s="21"/>
      <c r="K839" s="21"/>
      <c r="L839" s="21"/>
      <c r="M839" s="21"/>
      <c r="N839" s="21"/>
      <c r="O839" s="21"/>
      <c r="P839" s="21"/>
      <c r="Q839" s="21"/>
      <c r="R839" s="21"/>
      <c r="S839" s="21"/>
      <c r="T839" s="21"/>
      <c r="U839" s="21"/>
      <c r="V839" s="21"/>
      <c r="W839" s="21"/>
      <c r="X839" s="18">
        <v>9.0</v>
      </c>
      <c r="Y839" s="21"/>
      <c r="Z839" s="21"/>
      <c r="AA839" s="21"/>
      <c r="AB839" s="21"/>
      <c r="AC839" s="21"/>
      <c r="AD839" s="21"/>
      <c r="AE839" s="21"/>
      <c r="AF839" s="21"/>
      <c r="AG839" s="21"/>
      <c r="AH839" s="21"/>
      <c r="AI839" s="21"/>
      <c r="AJ839" s="21"/>
      <c r="AK839" s="21"/>
      <c r="AL839" s="21"/>
      <c r="AM839" s="21"/>
      <c r="AN839" s="21"/>
      <c r="AO839" s="21"/>
      <c r="AP839" s="18">
        <v>9.0</v>
      </c>
      <c r="AQ839" s="21"/>
      <c r="AR839" s="21"/>
      <c r="AS839" s="21"/>
      <c r="AT839" s="21"/>
      <c r="AU839" s="21"/>
      <c r="AV839" s="21"/>
      <c r="AW839" s="21"/>
      <c r="AX839" s="21"/>
      <c r="AY839" s="21"/>
      <c r="AZ839" s="21"/>
      <c r="BA839" s="21"/>
      <c r="BB839" s="21"/>
      <c r="BC839" s="21"/>
      <c r="BD839" s="21"/>
      <c r="BE839" s="21"/>
      <c r="BF839" s="21"/>
      <c r="BG839" s="21"/>
      <c r="BH839" s="21"/>
      <c r="BI839" s="21"/>
      <c r="BJ839" s="21"/>
      <c r="BK839" s="10"/>
    </row>
    <row r="840">
      <c r="A840" s="21"/>
      <c r="B840" s="21"/>
      <c r="C840" s="21"/>
      <c r="D840" s="21"/>
      <c r="E840" s="18">
        <v>10.0</v>
      </c>
      <c r="F840" s="21"/>
      <c r="G840" s="21"/>
      <c r="H840" s="21"/>
      <c r="I840" s="21"/>
      <c r="J840" s="21"/>
      <c r="K840" s="21"/>
      <c r="L840" s="21"/>
      <c r="M840" s="21"/>
      <c r="N840" s="21"/>
      <c r="O840" s="21"/>
      <c r="P840" s="21"/>
      <c r="Q840" s="21"/>
      <c r="R840" s="21"/>
      <c r="S840" s="21"/>
      <c r="T840" s="21"/>
      <c r="U840" s="21"/>
      <c r="V840" s="21"/>
      <c r="W840" s="21"/>
      <c r="X840" s="18">
        <v>10.0</v>
      </c>
      <c r="Y840" s="21"/>
      <c r="Z840" s="21"/>
      <c r="AA840" s="21"/>
      <c r="AB840" s="21"/>
      <c r="AC840" s="21"/>
      <c r="AD840" s="21"/>
      <c r="AE840" s="21"/>
      <c r="AF840" s="21"/>
      <c r="AG840" s="21"/>
      <c r="AH840" s="21"/>
      <c r="AI840" s="21"/>
      <c r="AJ840" s="21"/>
      <c r="AK840" s="21"/>
      <c r="AL840" s="21"/>
      <c r="AM840" s="21"/>
      <c r="AN840" s="21"/>
      <c r="AO840" s="21"/>
      <c r="AP840" s="18">
        <v>10.0</v>
      </c>
      <c r="AQ840" s="21"/>
      <c r="AR840" s="21"/>
      <c r="AS840" s="21"/>
      <c r="AT840" s="21"/>
      <c r="AU840" s="21"/>
      <c r="AV840" s="21"/>
      <c r="AW840" s="21"/>
      <c r="AX840" s="21"/>
      <c r="AY840" s="21"/>
      <c r="AZ840" s="21"/>
      <c r="BA840" s="21"/>
      <c r="BB840" s="21"/>
      <c r="BC840" s="21"/>
      <c r="BD840" s="21"/>
      <c r="BE840" s="21"/>
      <c r="BF840" s="21"/>
      <c r="BG840" s="21"/>
      <c r="BH840" s="21"/>
      <c r="BI840" s="21"/>
      <c r="BJ840" s="21"/>
      <c r="BK840" s="10"/>
    </row>
    <row r="841">
      <c r="A841" s="21"/>
      <c r="B841" s="21"/>
      <c r="C841" s="21"/>
      <c r="D841" s="21"/>
      <c r="E841" s="18">
        <v>11.0</v>
      </c>
      <c r="F841" s="21"/>
      <c r="G841" s="21"/>
      <c r="H841" s="21"/>
      <c r="I841" s="21"/>
      <c r="J841" s="21"/>
      <c r="K841" s="21"/>
      <c r="L841" s="21"/>
      <c r="M841" s="21"/>
      <c r="N841" s="21"/>
      <c r="O841" s="21"/>
      <c r="P841" s="21"/>
      <c r="Q841" s="21"/>
      <c r="R841" s="21"/>
      <c r="S841" s="21"/>
      <c r="T841" s="21"/>
      <c r="U841" s="21"/>
      <c r="V841" s="21"/>
      <c r="W841" s="21"/>
      <c r="X841" s="18">
        <v>11.0</v>
      </c>
      <c r="Y841" s="21"/>
      <c r="Z841" s="21"/>
      <c r="AA841" s="21"/>
      <c r="AB841" s="21"/>
      <c r="AC841" s="21"/>
      <c r="AD841" s="21"/>
      <c r="AE841" s="21"/>
      <c r="AF841" s="21"/>
      <c r="AG841" s="21"/>
      <c r="AH841" s="21"/>
      <c r="AI841" s="21"/>
      <c r="AJ841" s="21"/>
      <c r="AK841" s="21"/>
      <c r="AL841" s="21"/>
      <c r="AM841" s="21"/>
      <c r="AN841" s="21"/>
      <c r="AO841" s="21"/>
      <c r="AP841" s="18">
        <v>11.0</v>
      </c>
      <c r="AQ841" s="21"/>
      <c r="AR841" s="21"/>
      <c r="AS841" s="21"/>
      <c r="AT841" s="21"/>
      <c r="AU841" s="21"/>
      <c r="AV841" s="21"/>
      <c r="AW841" s="21"/>
      <c r="AX841" s="21"/>
      <c r="AY841" s="21"/>
      <c r="AZ841" s="21"/>
      <c r="BA841" s="21"/>
      <c r="BB841" s="21"/>
      <c r="BC841" s="21"/>
      <c r="BD841" s="21"/>
      <c r="BE841" s="21"/>
      <c r="BF841" s="21"/>
      <c r="BG841" s="21"/>
      <c r="BH841" s="21"/>
      <c r="BI841" s="21"/>
      <c r="BJ841" s="21"/>
      <c r="BK841" s="10"/>
    </row>
    <row r="842">
      <c r="A842" s="21"/>
      <c r="B842" s="21"/>
      <c r="C842" s="21"/>
      <c r="D842" s="21"/>
      <c r="E842" s="18">
        <v>12.0</v>
      </c>
      <c r="F842" s="21"/>
      <c r="G842" s="21"/>
      <c r="H842" s="21"/>
      <c r="I842" s="21"/>
      <c r="J842" s="21"/>
      <c r="K842" s="21"/>
      <c r="L842" s="21"/>
      <c r="M842" s="21"/>
      <c r="N842" s="21"/>
      <c r="O842" s="21"/>
      <c r="P842" s="21"/>
      <c r="Q842" s="21"/>
      <c r="R842" s="21"/>
      <c r="S842" s="21"/>
      <c r="T842" s="21"/>
      <c r="U842" s="21"/>
      <c r="V842" s="21"/>
      <c r="W842" s="21"/>
      <c r="X842" s="18">
        <v>12.0</v>
      </c>
      <c r="Y842" s="21"/>
      <c r="Z842" s="21"/>
      <c r="AA842" s="21"/>
      <c r="AB842" s="21"/>
      <c r="AC842" s="21"/>
      <c r="AD842" s="21"/>
      <c r="AE842" s="21"/>
      <c r="AF842" s="21"/>
      <c r="AG842" s="21"/>
      <c r="AH842" s="21"/>
      <c r="AI842" s="21"/>
      <c r="AJ842" s="21"/>
      <c r="AK842" s="21"/>
      <c r="AL842" s="21"/>
      <c r="AM842" s="21"/>
      <c r="AN842" s="21"/>
      <c r="AO842" s="21"/>
      <c r="AP842" s="18">
        <v>12.0</v>
      </c>
      <c r="AQ842" s="21"/>
      <c r="AR842" s="21"/>
      <c r="AS842" s="21"/>
      <c r="AT842" s="21"/>
      <c r="AU842" s="21"/>
      <c r="AV842" s="21"/>
      <c r="AW842" s="21"/>
      <c r="AX842" s="21"/>
      <c r="AY842" s="21"/>
      <c r="AZ842" s="21"/>
      <c r="BA842" s="21"/>
      <c r="BB842" s="21"/>
      <c r="BC842" s="21"/>
      <c r="BD842" s="21"/>
      <c r="BE842" s="21"/>
      <c r="BF842" s="21"/>
      <c r="BG842" s="21"/>
      <c r="BH842" s="21"/>
      <c r="BI842" s="21"/>
      <c r="BJ842" s="21"/>
      <c r="BK842" s="10"/>
    </row>
    <row r="843">
      <c r="A843" s="22"/>
      <c r="B843" s="22"/>
      <c r="C843" s="22"/>
      <c r="D843" s="22"/>
      <c r="E843" s="18">
        <v>13.0</v>
      </c>
      <c r="F843" s="22"/>
      <c r="G843" s="22"/>
      <c r="H843" s="22"/>
      <c r="I843" s="22"/>
      <c r="J843" s="22"/>
      <c r="K843" s="22"/>
      <c r="L843" s="22"/>
      <c r="M843" s="22"/>
      <c r="N843" s="22"/>
      <c r="O843" s="22"/>
      <c r="P843" s="22"/>
      <c r="Q843" s="22"/>
      <c r="R843" s="22"/>
      <c r="S843" s="22"/>
      <c r="T843" s="22"/>
      <c r="U843" s="22"/>
      <c r="V843" s="22"/>
      <c r="W843" s="22"/>
      <c r="X843" s="18">
        <v>13.0</v>
      </c>
      <c r="Y843" s="22"/>
      <c r="Z843" s="22"/>
      <c r="AA843" s="22"/>
      <c r="AB843" s="22"/>
      <c r="AC843" s="22"/>
      <c r="AD843" s="22"/>
      <c r="AE843" s="22"/>
      <c r="AF843" s="22"/>
      <c r="AG843" s="22"/>
      <c r="AH843" s="22"/>
      <c r="AI843" s="22"/>
      <c r="AJ843" s="22"/>
      <c r="AK843" s="22"/>
      <c r="AL843" s="22"/>
      <c r="AM843" s="22"/>
      <c r="AN843" s="22"/>
      <c r="AO843" s="22"/>
      <c r="AP843" s="18">
        <v>13.0</v>
      </c>
      <c r="AQ843" s="22"/>
      <c r="AR843" s="22"/>
      <c r="AS843" s="22"/>
      <c r="AT843" s="22"/>
      <c r="AU843" s="22"/>
      <c r="AV843" s="22"/>
      <c r="AW843" s="22"/>
      <c r="AX843" s="22"/>
      <c r="AY843" s="22"/>
      <c r="AZ843" s="22"/>
      <c r="BA843" s="22"/>
      <c r="BB843" s="22"/>
      <c r="BC843" s="22"/>
      <c r="BD843" s="22"/>
      <c r="BE843" s="22"/>
      <c r="BF843" s="22"/>
      <c r="BG843" s="22"/>
      <c r="BH843" s="22"/>
      <c r="BI843" s="22"/>
      <c r="BJ843" s="22"/>
      <c r="BK843" s="10"/>
    </row>
    <row r="844">
      <c r="A844" s="16" t="s">
        <v>319</v>
      </c>
      <c r="B844" s="27" t="s">
        <v>101</v>
      </c>
      <c r="C844" s="16" t="s">
        <v>84</v>
      </c>
      <c r="D844" s="16">
        <v>1.0</v>
      </c>
      <c r="E844" s="18">
        <v>3.0</v>
      </c>
      <c r="F844" s="16" t="s">
        <v>85</v>
      </c>
      <c r="G844" s="18">
        <v>52.0</v>
      </c>
      <c r="H844" s="16" t="s">
        <v>85</v>
      </c>
      <c r="I844" s="16" t="s">
        <v>85</v>
      </c>
      <c r="J844" s="16" t="s">
        <v>85</v>
      </c>
      <c r="K844" s="16" t="s">
        <v>85</v>
      </c>
      <c r="L844" s="16" t="s">
        <v>85</v>
      </c>
      <c r="M844" s="16" t="s">
        <v>85</v>
      </c>
      <c r="N844" s="16" t="s">
        <v>85</v>
      </c>
      <c r="O844" s="16" t="s">
        <v>85</v>
      </c>
      <c r="P844" s="16" t="s">
        <v>85</v>
      </c>
      <c r="Q844" s="16" t="s">
        <v>85</v>
      </c>
      <c r="R844" s="16" t="s">
        <v>85</v>
      </c>
      <c r="S844" s="16" t="s">
        <v>85</v>
      </c>
      <c r="T844" s="19">
        <v>109.0</v>
      </c>
      <c r="U844" s="16" t="s">
        <v>85</v>
      </c>
      <c r="V844" s="18">
        <v>189.0</v>
      </c>
      <c r="W844" s="16" t="s">
        <v>85</v>
      </c>
      <c r="X844" s="16" t="s">
        <v>85</v>
      </c>
      <c r="Y844" s="16" t="s">
        <v>85</v>
      </c>
      <c r="Z844" s="16" t="s">
        <v>85</v>
      </c>
      <c r="AA844" s="16" t="s">
        <v>85</v>
      </c>
      <c r="AB844" s="16" t="s">
        <v>85</v>
      </c>
      <c r="AC844" s="16" t="s">
        <v>85</v>
      </c>
      <c r="AD844" s="16" t="s">
        <v>85</v>
      </c>
      <c r="AE844" s="16" t="s">
        <v>85</v>
      </c>
      <c r="AF844" s="16" t="s">
        <v>89</v>
      </c>
      <c r="AG844" s="16" t="s">
        <v>114</v>
      </c>
      <c r="AH844" s="16" t="s">
        <v>85</v>
      </c>
      <c r="AI844" s="16">
        <v>2.5</v>
      </c>
      <c r="AJ844" s="16" t="s">
        <v>85</v>
      </c>
      <c r="AK844" s="16" t="s">
        <v>85</v>
      </c>
      <c r="AL844" s="16" t="s">
        <v>85</v>
      </c>
      <c r="AM844" s="16" t="s">
        <v>85</v>
      </c>
      <c r="AN844" s="16" t="s">
        <v>85</v>
      </c>
      <c r="AO844" s="16" t="s">
        <v>85</v>
      </c>
      <c r="AP844" s="16" t="s">
        <v>85</v>
      </c>
      <c r="AQ844" s="16" t="s">
        <v>85</v>
      </c>
      <c r="AR844" s="16" t="s">
        <v>88</v>
      </c>
      <c r="AS844" s="16" t="s">
        <v>85</v>
      </c>
      <c r="AT844" s="16" t="s">
        <v>85</v>
      </c>
      <c r="AU844" s="16" t="s">
        <v>85</v>
      </c>
      <c r="AV844" s="16" t="s">
        <v>85</v>
      </c>
      <c r="AW844" s="16" t="s">
        <v>85</v>
      </c>
      <c r="AX844" s="16" t="s">
        <v>85</v>
      </c>
      <c r="AY844" s="16" t="s">
        <v>85</v>
      </c>
      <c r="AZ844" s="16" t="s">
        <v>85</v>
      </c>
      <c r="BA844" s="16" t="s">
        <v>85</v>
      </c>
      <c r="BB844" s="16" t="s">
        <v>85</v>
      </c>
      <c r="BC844" s="16" t="s">
        <v>85</v>
      </c>
      <c r="BD844" s="16" t="s">
        <v>85</v>
      </c>
      <c r="BE844" s="16" t="s">
        <v>85</v>
      </c>
      <c r="BF844" s="16" t="s">
        <v>85</v>
      </c>
      <c r="BG844" s="16" t="s">
        <v>85</v>
      </c>
      <c r="BH844" s="16" t="s">
        <v>85</v>
      </c>
      <c r="BI844" s="16" t="s">
        <v>85</v>
      </c>
      <c r="BJ844" s="16" t="s">
        <v>85</v>
      </c>
      <c r="BK844" s="10"/>
    </row>
    <row r="845">
      <c r="A845" s="21"/>
      <c r="B845" s="21"/>
      <c r="C845" s="21"/>
      <c r="D845" s="21"/>
      <c r="E845" s="18">
        <v>4.0</v>
      </c>
      <c r="F845" s="21"/>
      <c r="G845" s="19">
        <v>57.0</v>
      </c>
      <c r="H845" s="21"/>
      <c r="I845" s="21"/>
      <c r="J845" s="21"/>
      <c r="K845" s="21"/>
      <c r="L845" s="21"/>
      <c r="M845" s="21"/>
      <c r="N845" s="21"/>
      <c r="O845" s="21"/>
      <c r="P845" s="21"/>
      <c r="Q845" s="21"/>
      <c r="R845" s="21"/>
      <c r="S845" s="21"/>
      <c r="T845" s="19">
        <v>119.0</v>
      </c>
      <c r="U845" s="21"/>
      <c r="V845" s="19">
        <v>207.0</v>
      </c>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c r="BA845" s="21"/>
      <c r="BB845" s="21"/>
      <c r="BC845" s="21"/>
      <c r="BD845" s="21"/>
      <c r="BE845" s="21"/>
      <c r="BF845" s="21"/>
      <c r="BG845" s="21"/>
      <c r="BH845" s="21"/>
      <c r="BI845" s="21"/>
      <c r="BJ845" s="21"/>
      <c r="BK845" s="10"/>
    </row>
    <row r="846">
      <c r="A846" s="21"/>
      <c r="B846" s="21"/>
      <c r="C846" s="21"/>
      <c r="D846" s="21"/>
      <c r="E846" s="18">
        <v>5.0</v>
      </c>
      <c r="F846" s="21"/>
      <c r="G846" s="19">
        <v>62.0</v>
      </c>
      <c r="H846" s="21"/>
      <c r="I846" s="21"/>
      <c r="J846" s="21"/>
      <c r="K846" s="21"/>
      <c r="L846" s="21"/>
      <c r="M846" s="21"/>
      <c r="N846" s="21"/>
      <c r="O846" s="21"/>
      <c r="P846" s="21"/>
      <c r="Q846" s="21"/>
      <c r="R846" s="21"/>
      <c r="S846" s="21"/>
      <c r="T846" s="19">
        <v>131.0</v>
      </c>
      <c r="U846" s="21"/>
      <c r="V846" s="19">
        <v>228.0</v>
      </c>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c r="BA846" s="21"/>
      <c r="BB846" s="21"/>
      <c r="BC846" s="21"/>
      <c r="BD846" s="21"/>
      <c r="BE846" s="21"/>
      <c r="BF846" s="21"/>
      <c r="BG846" s="21"/>
      <c r="BH846" s="21"/>
      <c r="BI846" s="21"/>
      <c r="BJ846" s="21"/>
      <c r="BK846" s="10"/>
    </row>
    <row r="847">
      <c r="A847" s="21"/>
      <c r="B847" s="21"/>
      <c r="C847" s="21"/>
      <c r="D847" s="21"/>
      <c r="E847" s="18">
        <v>6.0</v>
      </c>
      <c r="F847" s="21"/>
      <c r="G847" s="19">
        <v>69.0</v>
      </c>
      <c r="H847" s="21"/>
      <c r="I847" s="21"/>
      <c r="J847" s="21"/>
      <c r="K847" s="21"/>
      <c r="L847" s="21"/>
      <c r="M847" s="21"/>
      <c r="N847" s="21"/>
      <c r="O847" s="21"/>
      <c r="P847" s="21"/>
      <c r="Q847" s="21"/>
      <c r="R847" s="21"/>
      <c r="S847" s="21"/>
      <c r="T847" s="19">
        <v>144.0</v>
      </c>
      <c r="U847" s="21"/>
      <c r="V847" s="19">
        <v>251.0</v>
      </c>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c r="BA847" s="21"/>
      <c r="BB847" s="21"/>
      <c r="BC847" s="21"/>
      <c r="BD847" s="21"/>
      <c r="BE847" s="21"/>
      <c r="BF847" s="21"/>
      <c r="BG847" s="21"/>
      <c r="BH847" s="21"/>
      <c r="BI847" s="21"/>
      <c r="BJ847" s="21"/>
      <c r="BK847" s="10"/>
    </row>
    <row r="848">
      <c r="A848" s="21"/>
      <c r="B848" s="21"/>
      <c r="C848" s="21"/>
      <c r="D848" s="21"/>
      <c r="E848" s="18">
        <v>7.0</v>
      </c>
      <c r="F848" s="21"/>
      <c r="G848" s="19">
        <v>75.0</v>
      </c>
      <c r="H848" s="21"/>
      <c r="I848" s="21"/>
      <c r="J848" s="21"/>
      <c r="K848" s="21"/>
      <c r="L848" s="21"/>
      <c r="M848" s="21"/>
      <c r="N848" s="21"/>
      <c r="O848" s="21"/>
      <c r="P848" s="21"/>
      <c r="Q848" s="21"/>
      <c r="R848" s="21"/>
      <c r="S848" s="21"/>
      <c r="T848" s="19">
        <v>159.0</v>
      </c>
      <c r="U848" s="21"/>
      <c r="V848" s="19">
        <v>275.0</v>
      </c>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c r="BA848" s="21"/>
      <c r="BB848" s="21"/>
      <c r="BC848" s="21"/>
      <c r="BD848" s="21"/>
      <c r="BE848" s="21"/>
      <c r="BF848" s="21"/>
      <c r="BG848" s="21"/>
      <c r="BH848" s="21"/>
      <c r="BI848" s="21"/>
      <c r="BJ848" s="21"/>
      <c r="BK848" s="10"/>
    </row>
    <row r="849">
      <c r="A849" s="21"/>
      <c r="B849" s="21"/>
      <c r="C849" s="21"/>
      <c r="D849" s="21"/>
      <c r="E849" s="18">
        <v>8.0</v>
      </c>
      <c r="F849" s="21"/>
      <c r="G849" s="19">
        <v>83.0</v>
      </c>
      <c r="H849" s="21"/>
      <c r="I849" s="21"/>
      <c r="J849" s="21"/>
      <c r="K849" s="21"/>
      <c r="L849" s="21"/>
      <c r="M849" s="21"/>
      <c r="N849" s="21"/>
      <c r="O849" s="21"/>
      <c r="P849" s="21"/>
      <c r="Q849" s="21"/>
      <c r="R849" s="21"/>
      <c r="S849" s="21"/>
      <c r="T849" s="19">
        <v>174.0</v>
      </c>
      <c r="U849" s="21"/>
      <c r="V849" s="19">
        <v>302.0</v>
      </c>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c r="BA849" s="21"/>
      <c r="BB849" s="21"/>
      <c r="BC849" s="21"/>
      <c r="BD849" s="21"/>
      <c r="BE849" s="21"/>
      <c r="BF849" s="21"/>
      <c r="BG849" s="21"/>
      <c r="BH849" s="21"/>
      <c r="BI849" s="21"/>
      <c r="BJ849" s="21"/>
      <c r="BK849" s="10"/>
    </row>
    <row r="850">
      <c r="A850" s="21"/>
      <c r="B850" s="21"/>
      <c r="C850" s="21"/>
      <c r="D850" s="21"/>
      <c r="E850" s="18">
        <v>9.0</v>
      </c>
      <c r="F850" s="21"/>
      <c r="G850" s="19">
        <v>91.0</v>
      </c>
      <c r="H850" s="21"/>
      <c r="I850" s="21"/>
      <c r="J850" s="21"/>
      <c r="K850" s="21"/>
      <c r="L850" s="21"/>
      <c r="M850" s="21"/>
      <c r="N850" s="21"/>
      <c r="O850" s="21"/>
      <c r="P850" s="21"/>
      <c r="Q850" s="21"/>
      <c r="R850" s="21"/>
      <c r="S850" s="21"/>
      <c r="T850" s="19">
        <v>191.0</v>
      </c>
      <c r="U850" s="21"/>
      <c r="V850" s="19">
        <v>332.0</v>
      </c>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c r="BA850" s="21"/>
      <c r="BB850" s="21"/>
      <c r="BC850" s="21"/>
      <c r="BD850" s="21"/>
      <c r="BE850" s="21"/>
      <c r="BF850" s="21"/>
      <c r="BG850" s="21"/>
      <c r="BH850" s="21"/>
      <c r="BI850" s="21"/>
      <c r="BJ850" s="21"/>
      <c r="BK850" s="10"/>
    </row>
    <row r="851">
      <c r="A851" s="21"/>
      <c r="B851" s="21"/>
      <c r="C851" s="21"/>
      <c r="D851" s="21"/>
      <c r="E851" s="18">
        <v>10.0</v>
      </c>
      <c r="F851" s="21"/>
      <c r="G851" s="19">
        <v>100.0</v>
      </c>
      <c r="H851" s="21"/>
      <c r="I851" s="21"/>
      <c r="J851" s="21"/>
      <c r="K851" s="21"/>
      <c r="L851" s="21"/>
      <c r="M851" s="21"/>
      <c r="N851" s="21"/>
      <c r="O851" s="21"/>
      <c r="P851" s="21"/>
      <c r="Q851" s="21"/>
      <c r="R851" s="21"/>
      <c r="S851" s="21"/>
      <c r="T851" s="19">
        <v>210.0</v>
      </c>
      <c r="U851" s="21"/>
      <c r="V851" s="19">
        <v>364.0</v>
      </c>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c r="BA851" s="21"/>
      <c r="BB851" s="21"/>
      <c r="BC851" s="21"/>
      <c r="BD851" s="21"/>
      <c r="BE851" s="21"/>
      <c r="BF851" s="21"/>
      <c r="BG851" s="21"/>
      <c r="BH851" s="21"/>
      <c r="BI851" s="21"/>
      <c r="BJ851" s="21"/>
      <c r="BK851" s="10"/>
    </row>
    <row r="852">
      <c r="A852" s="21"/>
      <c r="B852" s="21"/>
      <c r="C852" s="21"/>
      <c r="D852" s="21"/>
      <c r="E852" s="18">
        <v>11.0</v>
      </c>
      <c r="F852" s="21"/>
      <c r="G852" s="19">
        <v>110.0</v>
      </c>
      <c r="H852" s="21"/>
      <c r="I852" s="21"/>
      <c r="J852" s="21"/>
      <c r="K852" s="21"/>
      <c r="L852" s="21"/>
      <c r="M852" s="21"/>
      <c r="N852" s="21"/>
      <c r="O852" s="21"/>
      <c r="P852" s="21"/>
      <c r="Q852" s="21"/>
      <c r="R852" s="21"/>
      <c r="S852" s="21"/>
      <c r="T852" s="19">
        <v>231.0</v>
      </c>
      <c r="U852" s="21"/>
      <c r="V852" s="19">
        <v>400.0</v>
      </c>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c r="BA852" s="21"/>
      <c r="BB852" s="21"/>
      <c r="BC852" s="21"/>
      <c r="BD852" s="21"/>
      <c r="BE852" s="21"/>
      <c r="BF852" s="21"/>
      <c r="BG852" s="21"/>
      <c r="BH852" s="21"/>
      <c r="BI852" s="21"/>
      <c r="BJ852" s="21"/>
      <c r="BK852" s="10"/>
    </row>
    <row r="853">
      <c r="A853" s="21"/>
      <c r="B853" s="21"/>
      <c r="C853" s="21"/>
      <c r="D853" s="21"/>
      <c r="E853" s="18">
        <v>12.0</v>
      </c>
      <c r="F853" s="21"/>
      <c r="G853" s="19">
        <v>121.0</v>
      </c>
      <c r="H853" s="21"/>
      <c r="I853" s="21"/>
      <c r="J853" s="21"/>
      <c r="K853" s="21"/>
      <c r="L853" s="21"/>
      <c r="M853" s="21"/>
      <c r="N853" s="21"/>
      <c r="O853" s="21"/>
      <c r="P853" s="21"/>
      <c r="Q853" s="21"/>
      <c r="R853" s="21"/>
      <c r="S853" s="21"/>
      <c r="T853" s="19">
        <v>253.0</v>
      </c>
      <c r="U853" s="21"/>
      <c r="V853" s="19">
        <v>440.0</v>
      </c>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c r="BA853" s="21"/>
      <c r="BB853" s="21"/>
      <c r="BC853" s="21"/>
      <c r="BD853" s="21"/>
      <c r="BE853" s="21"/>
      <c r="BF853" s="21"/>
      <c r="BG853" s="21"/>
      <c r="BH853" s="21"/>
      <c r="BI853" s="21"/>
      <c r="BJ853" s="21"/>
      <c r="BK853" s="10"/>
    </row>
    <row r="854">
      <c r="A854" s="22"/>
      <c r="B854" s="22"/>
      <c r="C854" s="22"/>
      <c r="D854" s="22"/>
      <c r="E854" s="18">
        <v>13.0</v>
      </c>
      <c r="F854" s="22"/>
      <c r="G854" s="19">
        <v>133.0</v>
      </c>
      <c r="H854" s="22"/>
      <c r="I854" s="22"/>
      <c r="J854" s="22"/>
      <c r="K854" s="22"/>
      <c r="L854" s="22"/>
      <c r="M854" s="22"/>
      <c r="N854" s="22"/>
      <c r="O854" s="22"/>
      <c r="P854" s="22"/>
      <c r="Q854" s="22"/>
      <c r="R854" s="22"/>
      <c r="S854" s="22"/>
      <c r="T854" s="19">
        <v>279.0</v>
      </c>
      <c r="U854" s="22"/>
      <c r="V854" s="19">
        <v>483.0</v>
      </c>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10"/>
    </row>
    <row r="855">
      <c r="A855" s="16" t="s">
        <v>320</v>
      </c>
      <c r="B855" s="27" t="s">
        <v>101</v>
      </c>
      <c r="C855" s="16" t="s">
        <v>117</v>
      </c>
      <c r="D855" s="16">
        <v>6.0</v>
      </c>
      <c r="E855" s="32">
        <v>3.0</v>
      </c>
      <c r="F855" s="16" t="s">
        <v>85</v>
      </c>
      <c r="G855" s="16" t="s">
        <v>85</v>
      </c>
      <c r="H855" s="16" t="s">
        <v>85</v>
      </c>
      <c r="I855" s="16" t="s">
        <v>85</v>
      </c>
      <c r="J855" s="16" t="s">
        <v>85</v>
      </c>
      <c r="K855" s="16" t="s">
        <v>85</v>
      </c>
      <c r="L855" s="16" t="s">
        <v>85</v>
      </c>
      <c r="M855" s="16" t="s">
        <v>85</v>
      </c>
      <c r="N855" s="16" t="s">
        <v>85</v>
      </c>
      <c r="O855" s="16" t="s">
        <v>85</v>
      </c>
      <c r="P855" s="16" t="s">
        <v>85</v>
      </c>
      <c r="Q855" s="16" t="s">
        <v>85</v>
      </c>
      <c r="R855" s="16" t="s">
        <v>85</v>
      </c>
      <c r="S855" s="16" t="s">
        <v>85</v>
      </c>
      <c r="T855" s="18">
        <v>505.0</v>
      </c>
      <c r="U855" s="16" t="s">
        <v>85</v>
      </c>
      <c r="V855" s="16" t="s">
        <v>85</v>
      </c>
      <c r="W855" s="16" t="s">
        <v>85</v>
      </c>
      <c r="X855" s="16" t="s">
        <v>85</v>
      </c>
      <c r="Y855" s="16" t="s">
        <v>85</v>
      </c>
      <c r="Z855" s="16" t="s">
        <v>85</v>
      </c>
      <c r="AA855" s="16" t="s">
        <v>85</v>
      </c>
      <c r="AB855" s="16" t="s">
        <v>85</v>
      </c>
      <c r="AC855" s="16" t="s">
        <v>85</v>
      </c>
      <c r="AD855" s="16" t="s">
        <v>321</v>
      </c>
      <c r="AE855" s="16" t="s">
        <v>85</v>
      </c>
      <c r="AF855" s="16" t="s">
        <v>85</v>
      </c>
      <c r="AG855" s="16" t="s">
        <v>85</v>
      </c>
      <c r="AH855" s="16" t="s">
        <v>85</v>
      </c>
      <c r="AI855" s="16" t="s">
        <v>85</v>
      </c>
      <c r="AJ855" s="16" t="s">
        <v>85</v>
      </c>
      <c r="AK855" s="16" t="s">
        <v>85</v>
      </c>
      <c r="AL855" s="16" t="s">
        <v>322</v>
      </c>
      <c r="AM855" s="16" t="s">
        <v>85</v>
      </c>
      <c r="AN855" s="16" t="s">
        <v>85</v>
      </c>
      <c r="AO855" s="16" t="s">
        <v>85</v>
      </c>
      <c r="AP855" s="16" t="s">
        <v>85</v>
      </c>
      <c r="AQ855" s="16" t="s">
        <v>85</v>
      </c>
      <c r="AR855" s="16" t="s">
        <v>85</v>
      </c>
      <c r="AS855" s="16" t="s">
        <v>85</v>
      </c>
      <c r="AT855" s="16" t="s">
        <v>85</v>
      </c>
      <c r="AU855" s="16" t="s">
        <v>85</v>
      </c>
      <c r="AV855" s="16" t="s">
        <v>85</v>
      </c>
      <c r="AW855" s="16" t="s">
        <v>85</v>
      </c>
      <c r="AX855" s="16" t="s">
        <v>85</v>
      </c>
      <c r="AY855" s="16" t="s">
        <v>85</v>
      </c>
      <c r="AZ855" s="16" t="s">
        <v>85</v>
      </c>
      <c r="BA855" s="16" t="s">
        <v>85</v>
      </c>
      <c r="BB855" s="16" t="s">
        <v>85</v>
      </c>
      <c r="BC855" s="16" t="s">
        <v>85</v>
      </c>
      <c r="BD855" s="16" t="s">
        <v>85</v>
      </c>
      <c r="BE855" s="16" t="s">
        <v>85</v>
      </c>
      <c r="BF855" s="16" t="s">
        <v>85</v>
      </c>
      <c r="BG855" s="16" t="s">
        <v>85</v>
      </c>
      <c r="BH855" s="16" t="s">
        <v>85</v>
      </c>
      <c r="BI855" s="16" t="s">
        <v>85</v>
      </c>
      <c r="BJ855" s="16" t="s">
        <v>85</v>
      </c>
      <c r="BK855" s="10"/>
    </row>
    <row r="856">
      <c r="A856" s="21"/>
      <c r="B856" s="21"/>
      <c r="C856" s="21"/>
      <c r="D856" s="21"/>
      <c r="E856" s="32">
        <v>4.0</v>
      </c>
      <c r="F856" s="21"/>
      <c r="G856" s="21"/>
      <c r="H856" s="21"/>
      <c r="I856" s="21"/>
      <c r="J856" s="21"/>
      <c r="K856" s="21"/>
      <c r="L856" s="21"/>
      <c r="M856" s="21"/>
      <c r="N856" s="21"/>
      <c r="O856" s="21"/>
      <c r="P856" s="21"/>
      <c r="Q856" s="21"/>
      <c r="R856" s="21"/>
      <c r="S856" s="21"/>
      <c r="T856" s="18">
        <v>555.0</v>
      </c>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c r="BA856" s="21"/>
      <c r="BB856" s="21"/>
      <c r="BC856" s="21"/>
      <c r="BD856" s="21"/>
      <c r="BE856" s="21"/>
      <c r="BF856" s="21"/>
      <c r="BG856" s="21"/>
      <c r="BH856" s="21"/>
      <c r="BI856" s="21"/>
      <c r="BJ856" s="21"/>
      <c r="BK856" s="10"/>
    </row>
    <row r="857">
      <c r="A857" s="21"/>
      <c r="B857" s="21"/>
      <c r="C857" s="21"/>
      <c r="D857" s="21"/>
      <c r="E857" s="32">
        <v>5.0</v>
      </c>
      <c r="F857" s="21"/>
      <c r="G857" s="21"/>
      <c r="H857" s="21"/>
      <c r="I857" s="21"/>
      <c r="J857" s="21"/>
      <c r="K857" s="21"/>
      <c r="L857" s="21"/>
      <c r="M857" s="21"/>
      <c r="N857" s="21"/>
      <c r="O857" s="21"/>
      <c r="P857" s="21"/>
      <c r="Q857" s="21"/>
      <c r="R857" s="21"/>
      <c r="S857" s="21"/>
      <c r="T857" s="18">
        <v>611.0</v>
      </c>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c r="BA857" s="21"/>
      <c r="BB857" s="21"/>
      <c r="BC857" s="21"/>
      <c r="BD857" s="21"/>
      <c r="BE857" s="21"/>
      <c r="BF857" s="21"/>
      <c r="BG857" s="21"/>
      <c r="BH857" s="21"/>
      <c r="BI857" s="21"/>
      <c r="BJ857" s="21"/>
      <c r="BK857" s="10"/>
    </row>
    <row r="858">
      <c r="A858" s="21"/>
      <c r="B858" s="21"/>
      <c r="C858" s="21"/>
      <c r="D858" s="21"/>
      <c r="E858" s="32">
        <v>6.0</v>
      </c>
      <c r="F858" s="21"/>
      <c r="G858" s="21"/>
      <c r="H858" s="21"/>
      <c r="I858" s="21"/>
      <c r="J858" s="21"/>
      <c r="K858" s="21"/>
      <c r="L858" s="21"/>
      <c r="M858" s="21"/>
      <c r="N858" s="21"/>
      <c r="O858" s="21"/>
      <c r="P858" s="21"/>
      <c r="Q858" s="21"/>
      <c r="R858" s="21"/>
      <c r="S858" s="21"/>
      <c r="T858" s="18">
        <v>671.0</v>
      </c>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c r="BA858" s="21"/>
      <c r="BB858" s="21"/>
      <c r="BC858" s="21"/>
      <c r="BD858" s="21"/>
      <c r="BE858" s="21"/>
      <c r="BF858" s="21"/>
      <c r="BG858" s="21"/>
      <c r="BH858" s="21"/>
      <c r="BI858" s="21"/>
      <c r="BJ858" s="21"/>
      <c r="BK858" s="10"/>
    </row>
    <row r="859">
      <c r="A859" s="21"/>
      <c r="B859" s="21"/>
      <c r="C859" s="21"/>
      <c r="D859" s="21"/>
      <c r="E859" s="32">
        <v>7.0</v>
      </c>
      <c r="F859" s="21"/>
      <c r="G859" s="21"/>
      <c r="H859" s="21"/>
      <c r="I859" s="21"/>
      <c r="J859" s="21"/>
      <c r="K859" s="21"/>
      <c r="L859" s="21"/>
      <c r="M859" s="21"/>
      <c r="N859" s="21"/>
      <c r="O859" s="21"/>
      <c r="P859" s="21"/>
      <c r="Q859" s="21"/>
      <c r="R859" s="21"/>
      <c r="S859" s="21"/>
      <c r="T859" s="18">
        <v>737.0</v>
      </c>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c r="BA859" s="21"/>
      <c r="BB859" s="21"/>
      <c r="BC859" s="21"/>
      <c r="BD859" s="21"/>
      <c r="BE859" s="21"/>
      <c r="BF859" s="21"/>
      <c r="BG859" s="21"/>
      <c r="BH859" s="21"/>
      <c r="BI859" s="21"/>
      <c r="BJ859" s="21"/>
      <c r="BK859" s="10"/>
    </row>
    <row r="860">
      <c r="A860" s="21"/>
      <c r="B860" s="21"/>
      <c r="C860" s="21"/>
      <c r="D860" s="21"/>
      <c r="E860" s="32">
        <v>8.0</v>
      </c>
      <c r="F860" s="21"/>
      <c r="G860" s="21"/>
      <c r="H860" s="21"/>
      <c r="I860" s="21"/>
      <c r="J860" s="21"/>
      <c r="K860" s="21"/>
      <c r="L860" s="21"/>
      <c r="M860" s="21"/>
      <c r="N860" s="21"/>
      <c r="O860" s="21"/>
      <c r="P860" s="21"/>
      <c r="Q860" s="21"/>
      <c r="R860" s="21"/>
      <c r="S860" s="21"/>
      <c r="T860" s="18">
        <v>808.0</v>
      </c>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c r="BA860" s="21"/>
      <c r="BB860" s="21"/>
      <c r="BC860" s="21"/>
      <c r="BD860" s="21"/>
      <c r="BE860" s="21"/>
      <c r="BF860" s="21"/>
      <c r="BG860" s="21"/>
      <c r="BH860" s="21"/>
      <c r="BI860" s="21"/>
      <c r="BJ860" s="21"/>
      <c r="BK860" s="10"/>
    </row>
    <row r="861">
      <c r="A861" s="21"/>
      <c r="B861" s="21"/>
      <c r="C861" s="21"/>
      <c r="D861" s="21"/>
      <c r="E861" s="32">
        <v>9.0</v>
      </c>
      <c r="F861" s="21"/>
      <c r="G861" s="21"/>
      <c r="H861" s="21"/>
      <c r="I861" s="21"/>
      <c r="J861" s="21"/>
      <c r="K861" s="21"/>
      <c r="L861" s="21"/>
      <c r="M861" s="21"/>
      <c r="N861" s="21"/>
      <c r="O861" s="21"/>
      <c r="P861" s="21"/>
      <c r="Q861" s="21"/>
      <c r="R861" s="21"/>
      <c r="S861" s="21"/>
      <c r="T861" s="18">
        <v>888.0</v>
      </c>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c r="BA861" s="21"/>
      <c r="BB861" s="21"/>
      <c r="BC861" s="21"/>
      <c r="BD861" s="21"/>
      <c r="BE861" s="21"/>
      <c r="BF861" s="21"/>
      <c r="BG861" s="21"/>
      <c r="BH861" s="21"/>
      <c r="BI861" s="21"/>
      <c r="BJ861" s="21"/>
      <c r="BK861" s="10"/>
    </row>
    <row r="862">
      <c r="A862" s="21"/>
      <c r="B862" s="21"/>
      <c r="C862" s="21"/>
      <c r="D862" s="21"/>
      <c r="E862" s="32">
        <v>10.0</v>
      </c>
      <c r="F862" s="21"/>
      <c r="G862" s="21"/>
      <c r="H862" s="21"/>
      <c r="I862" s="21"/>
      <c r="J862" s="21"/>
      <c r="K862" s="21"/>
      <c r="L862" s="21"/>
      <c r="M862" s="21"/>
      <c r="N862" s="21"/>
      <c r="O862" s="21"/>
      <c r="P862" s="21"/>
      <c r="Q862" s="21"/>
      <c r="R862" s="21"/>
      <c r="S862" s="21"/>
      <c r="T862" s="18">
        <v>974.0</v>
      </c>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c r="BA862" s="21"/>
      <c r="BB862" s="21"/>
      <c r="BC862" s="21"/>
      <c r="BD862" s="21"/>
      <c r="BE862" s="21"/>
      <c r="BF862" s="21"/>
      <c r="BG862" s="21"/>
      <c r="BH862" s="21"/>
      <c r="BI862" s="21"/>
      <c r="BJ862" s="21"/>
      <c r="BK862" s="10"/>
    </row>
    <row r="863">
      <c r="A863" s="21"/>
      <c r="B863" s="21"/>
      <c r="C863" s="21"/>
      <c r="D863" s="21"/>
      <c r="E863" s="32">
        <v>11.0</v>
      </c>
      <c r="F863" s="21"/>
      <c r="G863" s="21"/>
      <c r="H863" s="21"/>
      <c r="I863" s="21"/>
      <c r="J863" s="21"/>
      <c r="K863" s="21"/>
      <c r="L863" s="21"/>
      <c r="M863" s="21"/>
      <c r="N863" s="21"/>
      <c r="O863" s="21"/>
      <c r="P863" s="21"/>
      <c r="Q863" s="21"/>
      <c r="R863" s="21"/>
      <c r="S863" s="21"/>
      <c r="T863" s="18">
        <v>1070.0</v>
      </c>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c r="BA863" s="21"/>
      <c r="BB863" s="21"/>
      <c r="BC863" s="21"/>
      <c r="BD863" s="21"/>
      <c r="BE863" s="21"/>
      <c r="BF863" s="21"/>
      <c r="BG863" s="21"/>
      <c r="BH863" s="21"/>
      <c r="BI863" s="21"/>
      <c r="BJ863" s="21"/>
      <c r="BK863" s="10"/>
    </row>
    <row r="864">
      <c r="A864" s="21"/>
      <c r="B864" s="21"/>
      <c r="C864" s="21"/>
      <c r="D864" s="21"/>
      <c r="E864" s="32">
        <v>12.0</v>
      </c>
      <c r="F864" s="21"/>
      <c r="G864" s="21"/>
      <c r="H864" s="21"/>
      <c r="I864" s="21"/>
      <c r="J864" s="21"/>
      <c r="K864" s="21"/>
      <c r="L864" s="21"/>
      <c r="M864" s="21"/>
      <c r="N864" s="21"/>
      <c r="O864" s="21"/>
      <c r="P864" s="21"/>
      <c r="Q864" s="21"/>
      <c r="R864" s="21"/>
      <c r="S864" s="21"/>
      <c r="T864" s="18">
        <v>1176.0</v>
      </c>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c r="BA864" s="21"/>
      <c r="BB864" s="21"/>
      <c r="BC864" s="21"/>
      <c r="BD864" s="21"/>
      <c r="BE864" s="21"/>
      <c r="BF864" s="21"/>
      <c r="BG864" s="21"/>
      <c r="BH864" s="21"/>
      <c r="BI864" s="21"/>
      <c r="BJ864" s="21"/>
      <c r="BK864" s="10"/>
    </row>
    <row r="865">
      <c r="A865" s="22"/>
      <c r="B865" s="22"/>
      <c r="C865" s="22"/>
      <c r="D865" s="22"/>
      <c r="E865" s="32">
        <v>13.0</v>
      </c>
      <c r="F865" s="22"/>
      <c r="G865" s="22"/>
      <c r="H865" s="22"/>
      <c r="I865" s="22"/>
      <c r="J865" s="22"/>
      <c r="K865" s="22"/>
      <c r="L865" s="22"/>
      <c r="M865" s="22"/>
      <c r="N865" s="22"/>
      <c r="O865" s="22"/>
      <c r="P865" s="22"/>
      <c r="Q865" s="22"/>
      <c r="R865" s="22"/>
      <c r="S865" s="22"/>
      <c r="T865" s="18">
        <v>1292.0</v>
      </c>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10"/>
    </row>
    <row r="866">
      <c r="A866" s="16" t="s">
        <v>323</v>
      </c>
      <c r="B866" s="30" t="s">
        <v>131</v>
      </c>
      <c r="C866" s="16" t="s">
        <v>117</v>
      </c>
      <c r="D866" s="16">
        <v>4.0</v>
      </c>
      <c r="E866" s="32">
        <v>6.0</v>
      </c>
      <c r="F866" s="16" t="s">
        <v>85</v>
      </c>
      <c r="G866" s="16" t="s">
        <v>85</v>
      </c>
      <c r="H866" s="18">
        <v>51.0</v>
      </c>
      <c r="I866" s="16" t="s">
        <v>85</v>
      </c>
      <c r="J866" s="16" t="s">
        <v>85</v>
      </c>
      <c r="K866" s="16" t="s">
        <v>85</v>
      </c>
      <c r="L866" s="16" t="s">
        <v>85</v>
      </c>
      <c r="M866" s="16" t="s">
        <v>85</v>
      </c>
      <c r="N866" s="18">
        <v>16.0</v>
      </c>
      <c r="O866" s="16" t="s">
        <v>85</v>
      </c>
      <c r="P866" s="16" t="s">
        <v>85</v>
      </c>
      <c r="Q866" s="16" t="s">
        <v>85</v>
      </c>
      <c r="R866" s="16" t="s">
        <v>85</v>
      </c>
      <c r="S866" s="16" t="s">
        <v>85</v>
      </c>
      <c r="T866" s="18">
        <v>900.0</v>
      </c>
      <c r="U866" s="16" t="s">
        <v>85</v>
      </c>
      <c r="V866" s="16" t="s">
        <v>85</v>
      </c>
      <c r="W866" s="16" t="s">
        <v>324</v>
      </c>
      <c r="X866" s="18">
        <v>6.0</v>
      </c>
      <c r="Y866" s="16" t="s">
        <v>85</v>
      </c>
      <c r="Z866" s="16" t="s">
        <v>85</v>
      </c>
      <c r="AA866" s="16" t="s">
        <v>85</v>
      </c>
      <c r="AB866" s="16" t="s">
        <v>85</v>
      </c>
      <c r="AC866" s="16" t="s">
        <v>193</v>
      </c>
      <c r="AD866" s="16" t="s">
        <v>85</v>
      </c>
      <c r="AE866" s="16" t="s">
        <v>85</v>
      </c>
      <c r="AF866" s="16" t="s">
        <v>85</v>
      </c>
      <c r="AG866" s="16" t="s">
        <v>85</v>
      </c>
      <c r="AH866" s="16" t="s">
        <v>85</v>
      </c>
      <c r="AI866" s="16" t="s">
        <v>85</v>
      </c>
      <c r="AJ866" s="16" t="s">
        <v>85</v>
      </c>
      <c r="AK866" s="16" t="s">
        <v>85</v>
      </c>
      <c r="AL866" s="16" t="s">
        <v>325</v>
      </c>
      <c r="AM866" s="16" t="s">
        <v>85</v>
      </c>
      <c r="AN866" s="16" t="s">
        <v>85</v>
      </c>
      <c r="AO866" s="16" t="s">
        <v>85</v>
      </c>
      <c r="AP866" s="16" t="s">
        <v>85</v>
      </c>
      <c r="AQ866" s="16" t="s">
        <v>85</v>
      </c>
      <c r="AR866" s="16" t="s">
        <v>85</v>
      </c>
      <c r="AS866" s="16" t="s">
        <v>85</v>
      </c>
      <c r="AT866" s="16" t="s">
        <v>85</v>
      </c>
      <c r="AU866" s="16" t="s">
        <v>85</v>
      </c>
      <c r="AV866" s="16" t="s">
        <v>85</v>
      </c>
      <c r="AW866" s="16" t="s">
        <v>85</v>
      </c>
      <c r="AX866" s="16" t="s">
        <v>85</v>
      </c>
      <c r="AY866" s="16" t="s">
        <v>85</v>
      </c>
      <c r="AZ866" s="16" t="s">
        <v>85</v>
      </c>
      <c r="BA866" s="16" t="s">
        <v>85</v>
      </c>
      <c r="BB866" s="16" t="s">
        <v>85</v>
      </c>
      <c r="BC866" s="16" t="s">
        <v>85</v>
      </c>
      <c r="BD866" s="16" t="s">
        <v>85</v>
      </c>
      <c r="BE866" s="16" t="s">
        <v>85</v>
      </c>
      <c r="BF866" s="16" t="s">
        <v>85</v>
      </c>
      <c r="BG866" s="16" t="s">
        <v>85</v>
      </c>
      <c r="BH866" s="16" t="s">
        <v>85</v>
      </c>
      <c r="BI866" s="16" t="s">
        <v>85</v>
      </c>
      <c r="BJ866" s="16" t="s">
        <v>85</v>
      </c>
      <c r="BK866" s="10"/>
    </row>
    <row r="867">
      <c r="A867" s="21"/>
      <c r="B867" s="21"/>
      <c r="C867" s="21"/>
      <c r="D867" s="21"/>
      <c r="E867" s="32">
        <v>7.0</v>
      </c>
      <c r="F867" s="21"/>
      <c r="G867" s="21"/>
      <c r="H867" s="19">
        <v>56.0</v>
      </c>
      <c r="I867" s="21"/>
      <c r="J867" s="21"/>
      <c r="K867" s="21"/>
      <c r="L867" s="21"/>
      <c r="M867" s="21"/>
      <c r="N867" s="18">
        <v>17.0</v>
      </c>
      <c r="O867" s="21"/>
      <c r="P867" s="21"/>
      <c r="Q867" s="21"/>
      <c r="R867" s="21"/>
      <c r="S867" s="21"/>
      <c r="T867" s="19">
        <v>990.0</v>
      </c>
      <c r="U867" s="21"/>
      <c r="V867" s="21"/>
      <c r="W867" s="21"/>
      <c r="X867" s="18">
        <v>7.0</v>
      </c>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c r="BA867" s="21"/>
      <c r="BB867" s="21"/>
      <c r="BC867" s="21"/>
      <c r="BD867" s="21"/>
      <c r="BE867" s="21"/>
      <c r="BF867" s="21"/>
      <c r="BG867" s="21"/>
      <c r="BH867" s="21"/>
      <c r="BI867" s="21"/>
      <c r="BJ867" s="21"/>
      <c r="BK867" s="10"/>
    </row>
    <row r="868">
      <c r="A868" s="21"/>
      <c r="B868" s="21"/>
      <c r="C868" s="21"/>
      <c r="D868" s="21"/>
      <c r="E868" s="32">
        <v>8.0</v>
      </c>
      <c r="F868" s="21"/>
      <c r="G868" s="21"/>
      <c r="H868" s="19">
        <v>61.0</v>
      </c>
      <c r="I868" s="21"/>
      <c r="J868" s="21"/>
      <c r="K868" s="21"/>
      <c r="L868" s="21"/>
      <c r="M868" s="21"/>
      <c r="N868" s="18">
        <v>19.0</v>
      </c>
      <c r="O868" s="21"/>
      <c r="P868" s="21"/>
      <c r="Q868" s="21"/>
      <c r="R868" s="21"/>
      <c r="S868" s="21"/>
      <c r="T868" s="19">
        <v>1089.0</v>
      </c>
      <c r="U868" s="21"/>
      <c r="V868" s="21"/>
      <c r="W868" s="21"/>
      <c r="X868" s="18">
        <v>8.0</v>
      </c>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c r="BA868" s="21"/>
      <c r="BB868" s="21"/>
      <c r="BC868" s="21"/>
      <c r="BD868" s="21"/>
      <c r="BE868" s="21"/>
      <c r="BF868" s="21"/>
      <c r="BG868" s="21"/>
      <c r="BH868" s="21"/>
      <c r="BI868" s="21"/>
      <c r="BJ868" s="21"/>
      <c r="BK868" s="10"/>
    </row>
    <row r="869">
      <c r="A869" s="21"/>
      <c r="B869" s="21"/>
      <c r="C869" s="21"/>
      <c r="D869" s="21"/>
      <c r="E869" s="32">
        <v>9.0</v>
      </c>
      <c r="F869" s="21"/>
      <c r="G869" s="21"/>
      <c r="H869" s="19">
        <v>67.0</v>
      </c>
      <c r="I869" s="21"/>
      <c r="J869" s="21"/>
      <c r="K869" s="21"/>
      <c r="L869" s="21"/>
      <c r="M869" s="21"/>
      <c r="N869" s="18">
        <v>21.0</v>
      </c>
      <c r="O869" s="21"/>
      <c r="P869" s="21"/>
      <c r="Q869" s="21"/>
      <c r="R869" s="21"/>
      <c r="S869" s="21"/>
      <c r="T869" s="19">
        <v>1197.0</v>
      </c>
      <c r="U869" s="21"/>
      <c r="V869" s="21"/>
      <c r="W869" s="21"/>
      <c r="X869" s="18">
        <v>9.0</v>
      </c>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c r="BA869" s="21"/>
      <c r="BB869" s="21"/>
      <c r="BC869" s="21"/>
      <c r="BD869" s="21"/>
      <c r="BE869" s="21"/>
      <c r="BF869" s="21"/>
      <c r="BG869" s="21"/>
      <c r="BH869" s="21"/>
      <c r="BI869" s="21"/>
      <c r="BJ869" s="21"/>
      <c r="BK869" s="10"/>
    </row>
    <row r="870">
      <c r="A870" s="21"/>
      <c r="B870" s="21"/>
      <c r="C870" s="21"/>
      <c r="D870" s="21"/>
      <c r="E870" s="32">
        <v>10.0</v>
      </c>
      <c r="F870" s="21"/>
      <c r="G870" s="21"/>
      <c r="H870" s="19">
        <v>74.0</v>
      </c>
      <c r="I870" s="21"/>
      <c r="J870" s="21"/>
      <c r="K870" s="21"/>
      <c r="L870" s="21"/>
      <c r="M870" s="21"/>
      <c r="N870" s="18">
        <v>23.0</v>
      </c>
      <c r="O870" s="21"/>
      <c r="P870" s="21"/>
      <c r="Q870" s="21"/>
      <c r="R870" s="21"/>
      <c r="S870" s="21"/>
      <c r="T870" s="19">
        <v>1314.0</v>
      </c>
      <c r="U870" s="21"/>
      <c r="V870" s="21"/>
      <c r="W870" s="21"/>
      <c r="X870" s="18">
        <v>10.0</v>
      </c>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c r="BA870" s="21"/>
      <c r="BB870" s="21"/>
      <c r="BC870" s="21"/>
      <c r="BD870" s="21"/>
      <c r="BE870" s="21"/>
      <c r="BF870" s="21"/>
      <c r="BG870" s="21"/>
      <c r="BH870" s="21"/>
      <c r="BI870" s="21"/>
      <c r="BJ870" s="21"/>
      <c r="BK870" s="10"/>
    </row>
    <row r="871">
      <c r="A871" s="21"/>
      <c r="B871" s="21"/>
      <c r="C871" s="21"/>
      <c r="D871" s="21"/>
      <c r="E871" s="32">
        <v>11.0</v>
      </c>
      <c r="F871" s="21"/>
      <c r="G871" s="21"/>
      <c r="H871" s="19">
        <v>81.0</v>
      </c>
      <c r="I871" s="21"/>
      <c r="J871" s="21"/>
      <c r="K871" s="21"/>
      <c r="L871" s="21"/>
      <c r="M871" s="21"/>
      <c r="N871" s="18">
        <v>25.0</v>
      </c>
      <c r="O871" s="21"/>
      <c r="P871" s="21"/>
      <c r="Q871" s="21"/>
      <c r="R871" s="21"/>
      <c r="S871" s="21"/>
      <c r="T871" s="19">
        <v>1440.0</v>
      </c>
      <c r="U871" s="21"/>
      <c r="V871" s="21"/>
      <c r="W871" s="21"/>
      <c r="X871" s="18">
        <v>11.0</v>
      </c>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c r="BA871" s="21"/>
      <c r="BB871" s="21"/>
      <c r="BC871" s="21"/>
      <c r="BD871" s="21"/>
      <c r="BE871" s="21"/>
      <c r="BF871" s="21"/>
      <c r="BG871" s="21"/>
      <c r="BH871" s="21"/>
      <c r="BI871" s="21"/>
      <c r="BJ871" s="21"/>
      <c r="BK871" s="10"/>
    </row>
    <row r="872">
      <c r="A872" s="21"/>
      <c r="B872" s="21"/>
      <c r="C872" s="21"/>
      <c r="D872" s="21"/>
      <c r="E872" s="32">
        <v>12.0</v>
      </c>
      <c r="F872" s="21"/>
      <c r="G872" s="21"/>
      <c r="H872" s="19">
        <v>89.0</v>
      </c>
      <c r="I872" s="21"/>
      <c r="J872" s="21"/>
      <c r="K872" s="21"/>
      <c r="L872" s="21"/>
      <c r="M872" s="21"/>
      <c r="N872" s="18">
        <v>27.0</v>
      </c>
      <c r="O872" s="21"/>
      <c r="P872" s="21"/>
      <c r="Q872" s="21"/>
      <c r="R872" s="21"/>
      <c r="S872" s="21"/>
      <c r="T872" s="19">
        <v>1584.0</v>
      </c>
      <c r="U872" s="21"/>
      <c r="V872" s="21"/>
      <c r="W872" s="21"/>
      <c r="X872" s="18">
        <v>12.0</v>
      </c>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c r="BE872" s="21"/>
      <c r="BF872" s="21"/>
      <c r="BG872" s="21"/>
      <c r="BH872" s="21"/>
      <c r="BI872" s="21"/>
      <c r="BJ872" s="21"/>
      <c r="BK872" s="10"/>
    </row>
    <row r="873">
      <c r="A873" s="22"/>
      <c r="B873" s="22"/>
      <c r="C873" s="22"/>
      <c r="D873" s="22"/>
      <c r="E873" s="32">
        <v>13.0</v>
      </c>
      <c r="F873" s="22"/>
      <c r="G873" s="22"/>
      <c r="H873" s="19">
        <v>98.0</v>
      </c>
      <c r="I873" s="22"/>
      <c r="J873" s="22"/>
      <c r="K873" s="22"/>
      <c r="L873" s="22"/>
      <c r="M873" s="22"/>
      <c r="N873" s="18">
        <v>30.0</v>
      </c>
      <c r="O873" s="22"/>
      <c r="P873" s="22"/>
      <c r="Q873" s="22"/>
      <c r="R873" s="22"/>
      <c r="S873" s="22"/>
      <c r="T873" s="19">
        <v>1737.0</v>
      </c>
      <c r="U873" s="22"/>
      <c r="V873" s="22"/>
      <c r="W873" s="22"/>
      <c r="X873" s="18">
        <v>13.0</v>
      </c>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10"/>
    </row>
    <row r="874">
      <c r="A874" s="16" t="s">
        <v>326</v>
      </c>
      <c r="B874" s="30" t="s">
        <v>131</v>
      </c>
      <c r="C874" s="16" t="s">
        <v>87</v>
      </c>
      <c r="D874" s="16">
        <v>5.0</v>
      </c>
      <c r="E874" s="32">
        <v>6.0</v>
      </c>
      <c r="F874" s="16" t="s">
        <v>85</v>
      </c>
      <c r="G874" s="18">
        <v>180.0</v>
      </c>
      <c r="H874" s="16" t="s">
        <v>85</v>
      </c>
      <c r="I874" s="16" t="s">
        <v>85</v>
      </c>
      <c r="J874" s="16" t="s">
        <v>85</v>
      </c>
      <c r="K874" s="16" t="s">
        <v>85</v>
      </c>
      <c r="L874" s="16" t="s">
        <v>85</v>
      </c>
      <c r="M874" s="16" t="s">
        <v>85</v>
      </c>
      <c r="N874" s="16" t="s">
        <v>85</v>
      </c>
      <c r="O874" s="16" t="s">
        <v>85</v>
      </c>
      <c r="P874" s="16" t="s">
        <v>85</v>
      </c>
      <c r="Q874" s="18">
        <v>72.0</v>
      </c>
      <c r="R874" s="16" t="s">
        <v>85</v>
      </c>
      <c r="S874" s="16" t="s">
        <v>85</v>
      </c>
      <c r="T874" s="18">
        <v>1300.0</v>
      </c>
      <c r="U874" s="16" t="s">
        <v>85</v>
      </c>
      <c r="V874" s="16" t="s">
        <v>85</v>
      </c>
      <c r="W874" s="16" t="s">
        <v>85</v>
      </c>
      <c r="X874" s="16" t="s">
        <v>85</v>
      </c>
      <c r="Y874" s="16" t="s">
        <v>85</v>
      </c>
      <c r="Z874" s="16" t="s">
        <v>85</v>
      </c>
      <c r="AA874" s="16" t="s">
        <v>85</v>
      </c>
      <c r="AB874" s="16" t="s">
        <v>85</v>
      </c>
      <c r="AC874" s="16" t="s">
        <v>85</v>
      </c>
      <c r="AD874" s="16" t="s">
        <v>85</v>
      </c>
      <c r="AE874" s="16" t="s">
        <v>220</v>
      </c>
      <c r="AF874" s="16" t="s">
        <v>98</v>
      </c>
      <c r="AG874" s="16" t="s">
        <v>110</v>
      </c>
      <c r="AH874" s="16" t="s">
        <v>85</v>
      </c>
      <c r="AI874" s="16">
        <v>4.0</v>
      </c>
      <c r="AJ874" s="16">
        <v>7.5</v>
      </c>
      <c r="AK874" s="16" t="s">
        <v>85</v>
      </c>
      <c r="AL874" s="16" t="s">
        <v>85</v>
      </c>
      <c r="AM874" s="16" t="s">
        <v>85</v>
      </c>
      <c r="AN874" s="16" t="s">
        <v>85</v>
      </c>
      <c r="AO874" s="16" t="s">
        <v>85</v>
      </c>
      <c r="AP874" s="16" t="s">
        <v>85</v>
      </c>
      <c r="AQ874" s="16" t="s">
        <v>85</v>
      </c>
      <c r="AR874" s="16" t="s">
        <v>85</v>
      </c>
      <c r="AS874" s="16" t="s">
        <v>85</v>
      </c>
      <c r="AT874" s="16" t="s">
        <v>85</v>
      </c>
      <c r="AU874" s="16" t="s">
        <v>85</v>
      </c>
      <c r="AV874" s="16" t="s">
        <v>85</v>
      </c>
      <c r="AW874" s="16" t="s">
        <v>85</v>
      </c>
      <c r="AX874" s="16" t="s">
        <v>85</v>
      </c>
      <c r="AY874" s="16" t="s">
        <v>85</v>
      </c>
      <c r="AZ874" s="16" t="s">
        <v>85</v>
      </c>
      <c r="BA874" s="16" t="s">
        <v>85</v>
      </c>
      <c r="BB874" s="16" t="s">
        <v>85</v>
      </c>
      <c r="BC874" s="16" t="s">
        <v>85</v>
      </c>
      <c r="BD874" s="16" t="s">
        <v>85</v>
      </c>
      <c r="BE874" s="16" t="s">
        <v>85</v>
      </c>
      <c r="BF874" s="16" t="s">
        <v>85</v>
      </c>
      <c r="BG874" s="16" t="s">
        <v>85</v>
      </c>
      <c r="BH874" s="16" t="s">
        <v>85</v>
      </c>
      <c r="BI874" s="16" t="s">
        <v>85</v>
      </c>
      <c r="BJ874" s="16" t="s">
        <v>85</v>
      </c>
      <c r="BK874" s="10"/>
    </row>
    <row r="875">
      <c r="A875" s="21"/>
      <c r="B875" s="21"/>
      <c r="C875" s="21"/>
      <c r="D875" s="21"/>
      <c r="E875" s="32">
        <v>7.0</v>
      </c>
      <c r="F875" s="21"/>
      <c r="G875" s="18">
        <v>198.0</v>
      </c>
      <c r="H875" s="21"/>
      <c r="I875" s="21"/>
      <c r="J875" s="21"/>
      <c r="K875" s="21"/>
      <c r="L875" s="21"/>
      <c r="M875" s="21"/>
      <c r="N875" s="21"/>
      <c r="O875" s="21"/>
      <c r="P875" s="21"/>
      <c r="Q875" s="18">
        <v>79.0</v>
      </c>
      <c r="R875" s="21"/>
      <c r="S875" s="21"/>
      <c r="T875" s="19">
        <v>1430.0</v>
      </c>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c r="BA875" s="21"/>
      <c r="BB875" s="21"/>
      <c r="BC875" s="21"/>
      <c r="BD875" s="21"/>
      <c r="BE875" s="21"/>
      <c r="BF875" s="21"/>
      <c r="BG875" s="21"/>
      <c r="BH875" s="21"/>
      <c r="BI875" s="21"/>
      <c r="BJ875" s="21"/>
      <c r="BK875" s="10"/>
    </row>
    <row r="876">
      <c r="A876" s="21"/>
      <c r="B876" s="21"/>
      <c r="C876" s="21"/>
      <c r="D876" s="21"/>
      <c r="E876" s="32">
        <v>8.0</v>
      </c>
      <c r="F876" s="21"/>
      <c r="G876" s="18">
        <v>217.0</v>
      </c>
      <c r="H876" s="21"/>
      <c r="I876" s="21"/>
      <c r="J876" s="21"/>
      <c r="K876" s="21"/>
      <c r="L876" s="21"/>
      <c r="M876" s="21"/>
      <c r="N876" s="21"/>
      <c r="O876" s="21"/>
      <c r="P876" s="21"/>
      <c r="Q876" s="18">
        <v>86.0</v>
      </c>
      <c r="R876" s="21"/>
      <c r="S876" s="21"/>
      <c r="T876" s="19">
        <v>1573.0</v>
      </c>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c r="BA876" s="21"/>
      <c r="BB876" s="21"/>
      <c r="BC876" s="21"/>
      <c r="BD876" s="21"/>
      <c r="BE876" s="21"/>
      <c r="BF876" s="21"/>
      <c r="BG876" s="21"/>
      <c r="BH876" s="21"/>
      <c r="BI876" s="21"/>
      <c r="BJ876" s="21"/>
      <c r="BK876" s="10"/>
    </row>
    <row r="877">
      <c r="A877" s="21"/>
      <c r="B877" s="21"/>
      <c r="C877" s="21"/>
      <c r="D877" s="21"/>
      <c r="E877" s="32">
        <v>9.0</v>
      </c>
      <c r="F877" s="21"/>
      <c r="G877" s="18">
        <v>239.0</v>
      </c>
      <c r="H877" s="21"/>
      <c r="I877" s="21"/>
      <c r="J877" s="21"/>
      <c r="K877" s="21"/>
      <c r="L877" s="21"/>
      <c r="M877" s="21"/>
      <c r="N877" s="21"/>
      <c r="O877" s="21"/>
      <c r="P877" s="21"/>
      <c r="Q877" s="18">
        <v>95.0</v>
      </c>
      <c r="R877" s="21"/>
      <c r="S877" s="21"/>
      <c r="T877" s="19">
        <v>1729.0</v>
      </c>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c r="BA877" s="21"/>
      <c r="BB877" s="21"/>
      <c r="BC877" s="21"/>
      <c r="BD877" s="21"/>
      <c r="BE877" s="21"/>
      <c r="BF877" s="21"/>
      <c r="BG877" s="21"/>
      <c r="BH877" s="21"/>
      <c r="BI877" s="21"/>
      <c r="BJ877" s="21"/>
      <c r="BK877" s="10"/>
    </row>
    <row r="878">
      <c r="A878" s="21"/>
      <c r="B878" s="21"/>
      <c r="C878" s="21"/>
      <c r="D878" s="21"/>
      <c r="E878" s="32">
        <v>10.0</v>
      </c>
      <c r="F878" s="21"/>
      <c r="G878" s="18">
        <v>262.0</v>
      </c>
      <c r="H878" s="21"/>
      <c r="I878" s="21"/>
      <c r="J878" s="21"/>
      <c r="K878" s="21"/>
      <c r="L878" s="21"/>
      <c r="M878" s="21"/>
      <c r="N878" s="21"/>
      <c r="O878" s="21"/>
      <c r="P878" s="21"/>
      <c r="Q878" s="18">
        <v>104.0</v>
      </c>
      <c r="R878" s="21"/>
      <c r="S878" s="21"/>
      <c r="T878" s="19">
        <v>1898.0</v>
      </c>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c r="BA878" s="21"/>
      <c r="BB878" s="21"/>
      <c r="BC878" s="21"/>
      <c r="BD878" s="21"/>
      <c r="BE878" s="21"/>
      <c r="BF878" s="21"/>
      <c r="BG878" s="21"/>
      <c r="BH878" s="21"/>
      <c r="BI878" s="21"/>
      <c r="BJ878" s="21"/>
      <c r="BK878" s="10"/>
    </row>
    <row r="879">
      <c r="A879" s="21"/>
      <c r="B879" s="21"/>
      <c r="C879" s="21"/>
      <c r="D879" s="21"/>
      <c r="E879" s="32">
        <v>11.0</v>
      </c>
      <c r="F879" s="21"/>
      <c r="G879" s="18">
        <v>288.0</v>
      </c>
      <c r="H879" s="21"/>
      <c r="I879" s="21"/>
      <c r="J879" s="21"/>
      <c r="K879" s="21"/>
      <c r="L879" s="21"/>
      <c r="M879" s="21"/>
      <c r="N879" s="21"/>
      <c r="O879" s="21"/>
      <c r="P879" s="21"/>
      <c r="Q879" s="18">
        <v>115.0</v>
      </c>
      <c r="R879" s="21"/>
      <c r="S879" s="21"/>
      <c r="T879" s="19">
        <v>2080.0</v>
      </c>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c r="BA879" s="21"/>
      <c r="BB879" s="21"/>
      <c r="BC879" s="21"/>
      <c r="BD879" s="21"/>
      <c r="BE879" s="21"/>
      <c r="BF879" s="21"/>
      <c r="BG879" s="21"/>
      <c r="BH879" s="21"/>
      <c r="BI879" s="21"/>
      <c r="BJ879" s="21"/>
      <c r="BK879" s="10"/>
    </row>
    <row r="880">
      <c r="A880" s="21"/>
      <c r="B880" s="21"/>
      <c r="C880" s="21"/>
      <c r="D880" s="21"/>
      <c r="E880" s="32">
        <v>12.0</v>
      </c>
      <c r="F880" s="21"/>
      <c r="G880" s="18">
        <v>316.0</v>
      </c>
      <c r="H880" s="21"/>
      <c r="I880" s="21"/>
      <c r="J880" s="21"/>
      <c r="K880" s="21"/>
      <c r="L880" s="21"/>
      <c r="M880" s="21"/>
      <c r="N880" s="21"/>
      <c r="O880" s="21"/>
      <c r="P880" s="21"/>
      <c r="Q880" s="18">
        <v>126.0</v>
      </c>
      <c r="R880" s="21"/>
      <c r="S880" s="21"/>
      <c r="T880" s="19">
        <v>2288.0</v>
      </c>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c r="BA880" s="21"/>
      <c r="BB880" s="21"/>
      <c r="BC880" s="21"/>
      <c r="BD880" s="21"/>
      <c r="BE880" s="21"/>
      <c r="BF880" s="21"/>
      <c r="BG880" s="21"/>
      <c r="BH880" s="21"/>
      <c r="BI880" s="21"/>
      <c r="BJ880" s="21"/>
      <c r="BK880" s="10"/>
    </row>
    <row r="881">
      <c r="A881" s="22"/>
      <c r="B881" s="22"/>
      <c r="C881" s="22"/>
      <c r="D881" s="22"/>
      <c r="E881" s="32">
        <v>13.0</v>
      </c>
      <c r="F881" s="22"/>
      <c r="G881" s="18">
        <v>347.0</v>
      </c>
      <c r="H881" s="22"/>
      <c r="I881" s="22"/>
      <c r="J881" s="22"/>
      <c r="K881" s="22"/>
      <c r="L881" s="22"/>
      <c r="M881" s="22"/>
      <c r="N881" s="22"/>
      <c r="O881" s="22"/>
      <c r="P881" s="22"/>
      <c r="Q881" s="18">
        <v>138.0</v>
      </c>
      <c r="R881" s="22"/>
      <c r="S881" s="22"/>
      <c r="T881" s="19">
        <v>2509.0</v>
      </c>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10"/>
    </row>
    <row r="882">
      <c r="A882" s="16" t="s">
        <v>327</v>
      </c>
      <c r="B882" s="35" t="s">
        <v>181</v>
      </c>
      <c r="C882" s="16" t="s">
        <v>87</v>
      </c>
      <c r="D882" s="16">
        <v>4.0</v>
      </c>
      <c r="E882" s="18">
        <v>9.0</v>
      </c>
      <c r="F882" s="16" t="s">
        <v>85</v>
      </c>
      <c r="G882" s="18">
        <v>111.0</v>
      </c>
      <c r="H882" s="16" t="s">
        <v>85</v>
      </c>
      <c r="I882" s="16" t="s">
        <v>85</v>
      </c>
      <c r="J882" s="16" t="s">
        <v>85</v>
      </c>
      <c r="K882" s="16" t="s">
        <v>85</v>
      </c>
      <c r="L882" s="16" t="s">
        <v>85</v>
      </c>
      <c r="M882" s="16" t="s">
        <v>85</v>
      </c>
      <c r="N882" s="16" t="s">
        <v>85</v>
      </c>
      <c r="O882" s="16" t="s">
        <v>85</v>
      </c>
      <c r="P882" s="16" t="s">
        <v>85</v>
      </c>
      <c r="Q882" s="19">
        <v>100.0</v>
      </c>
      <c r="R882" s="16" t="s">
        <v>85</v>
      </c>
      <c r="S882" s="16" t="s">
        <v>85</v>
      </c>
      <c r="T882" s="18">
        <v>440.0</v>
      </c>
      <c r="U882" s="16" t="s">
        <v>85</v>
      </c>
      <c r="V882" s="16" t="s">
        <v>85</v>
      </c>
      <c r="W882" s="16" t="s">
        <v>85</v>
      </c>
      <c r="X882" s="16" t="s">
        <v>85</v>
      </c>
      <c r="Y882" s="16" t="s">
        <v>85</v>
      </c>
      <c r="Z882" s="16" t="s">
        <v>85</v>
      </c>
      <c r="AA882" s="16" t="s">
        <v>85</v>
      </c>
      <c r="AB882" s="16" t="s">
        <v>85</v>
      </c>
      <c r="AC882" s="16" t="s">
        <v>85</v>
      </c>
      <c r="AD882" s="16" t="s">
        <v>85</v>
      </c>
      <c r="AE882" s="16" t="s">
        <v>106</v>
      </c>
      <c r="AF882" s="16" t="s">
        <v>89</v>
      </c>
      <c r="AG882" s="16" t="s">
        <v>95</v>
      </c>
      <c r="AH882" s="16" t="s">
        <v>85</v>
      </c>
      <c r="AI882" s="16">
        <v>7.0</v>
      </c>
      <c r="AJ882" s="16">
        <v>11.0</v>
      </c>
      <c r="AK882" s="16" t="s">
        <v>85</v>
      </c>
      <c r="AL882" s="16" t="s">
        <v>85</v>
      </c>
      <c r="AM882" s="16" t="s">
        <v>85</v>
      </c>
      <c r="AN882" s="16" t="s">
        <v>85</v>
      </c>
      <c r="AO882" s="16" t="s">
        <v>85</v>
      </c>
      <c r="AP882" s="16" t="s">
        <v>85</v>
      </c>
      <c r="AQ882" s="16" t="s">
        <v>85</v>
      </c>
      <c r="AR882" s="16" t="s">
        <v>85</v>
      </c>
      <c r="AS882" s="16" t="s">
        <v>85</v>
      </c>
      <c r="AT882" s="16" t="s">
        <v>85</v>
      </c>
      <c r="AU882" s="16" t="s">
        <v>85</v>
      </c>
      <c r="AV882" s="16" t="s">
        <v>85</v>
      </c>
      <c r="AW882" s="16" t="s">
        <v>85</v>
      </c>
      <c r="AX882" s="16" t="s">
        <v>85</v>
      </c>
      <c r="AY882" s="16" t="s">
        <v>85</v>
      </c>
      <c r="AZ882" s="16" t="s">
        <v>85</v>
      </c>
      <c r="BA882" s="16" t="s">
        <v>85</v>
      </c>
      <c r="BB882" s="16" t="s">
        <v>85</v>
      </c>
      <c r="BC882" s="16" t="s">
        <v>85</v>
      </c>
      <c r="BD882" s="16" t="s">
        <v>85</v>
      </c>
      <c r="BE882" s="16" t="s">
        <v>85</v>
      </c>
      <c r="BF882" s="16" t="s">
        <v>85</v>
      </c>
      <c r="BG882" s="16" t="s">
        <v>85</v>
      </c>
      <c r="BH882" s="16" t="s">
        <v>85</v>
      </c>
      <c r="BI882" s="16" t="s">
        <v>85</v>
      </c>
      <c r="BJ882" s="16" t="s">
        <v>85</v>
      </c>
      <c r="BK882" s="10"/>
    </row>
    <row r="883">
      <c r="A883" s="21"/>
      <c r="B883" s="21"/>
      <c r="C883" s="21"/>
      <c r="D883" s="21"/>
      <c r="E883" s="18">
        <v>10.0</v>
      </c>
      <c r="F883" s="21"/>
      <c r="G883" s="19">
        <v>122.0</v>
      </c>
      <c r="H883" s="21"/>
      <c r="I883" s="21"/>
      <c r="J883" s="21"/>
      <c r="K883" s="21"/>
      <c r="L883" s="21"/>
      <c r="M883" s="21"/>
      <c r="N883" s="21"/>
      <c r="O883" s="21"/>
      <c r="P883" s="21"/>
      <c r="Q883" s="19">
        <v>110.0</v>
      </c>
      <c r="R883" s="21"/>
      <c r="S883" s="21"/>
      <c r="T883" s="19">
        <v>484.0</v>
      </c>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c r="BA883" s="21"/>
      <c r="BB883" s="21"/>
      <c r="BC883" s="21"/>
      <c r="BD883" s="21"/>
      <c r="BE883" s="21"/>
      <c r="BF883" s="21"/>
      <c r="BG883" s="21"/>
      <c r="BH883" s="21"/>
      <c r="BI883" s="21"/>
      <c r="BJ883" s="21"/>
      <c r="BK883" s="10"/>
    </row>
    <row r="884">
      <c r="A884" s="21"/>
      <c r="B884" s="21"/>
      <c r="C884" s="21"/>
      <c r="D884" s="21"/>
      <c r="E884" s="18">
        <v>11.0</v>
      </c>
      <c r="F884" s="21"/>
      <c r="G884" s="19">
        <v>134.0</v>
      </c>
      <c r="H884" s="21"/>
      <c r="I884" s="21"/>
      <c r="J884" s="21"/>
      <c r="K884" s="21"/>
      <c r="L884" s="21"/>
      <c r="M884" s="21"/>
      <c r="N884" s="21"/>
      <c r="O884" s="21"/>
      <c r="P884" s="21"/>
      <c r="Q884" s="19">
        <v>121.0</v>
      </c>
      <c r="R884" s="21"/>
      <c r="S884" s="21"/>
      <c r="T884" s="19">
        <v>532.0</v>
      </c>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c r="BA884" s="21"/>
      <c r="BB884" s="21"/>
      <c r="BC884" s="21"/>
      <c r="BD884" s="21"/>
      <c r="BE884" s="21"/>
      <c r="BF884" s="21"/>
      <c r="BG884" s="21"/>
      <c r="BH884" s="21"/>
      <c r="BI884" s="21"/>
      <c r="BJ884" s="21"/>
      <c r="BK884" s="10"/>
    </row>
    <row r="885">
      <c r="A885" s="21"/>
      <c r="B885" s="21"/>
      <c r="C885" s="21"/>
      <c r="D885" s="21"/>
      <c r="E885" s="18">
        <v>12.0</v>
      </c>
      <c r="F885" s="21"/>
      <c r="G885" s="19">
        <v>147.0</v>
      </c>
      <c r="H885" s="21"/>
      <c r="I885" s="21"/>
      <c r="J885" s="21"/>
      <c r="K885" s="21"/>
      <c r="L885" s="21"/>
      <c r="M885" s="21"/>
      <c r="N885" s="21"/>
      <c r="O885" s="21"/>
      <c r="P885" s="21"/>
      <c r="Q885" s="19">
        <v>133.0</v>
      </c>
      <c r="R885" s="21"/>
      <c r="S885" s="21"/>
      <c r="T885" s="19">
        <v>585.0</v>
      </c>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c r="BA885" s="21"/>
      <c r="BB885" s="21"/>
      <c r="BC885" s="21"/>
      <c r="BD885" s="21"/>
      <c r="BE885" s="21"/>
      <c r="BF885" s="21"/>
      <c r="BG885" s="21"/>
      <c r="BH885" s="21"/>
      <c r="BI885" s="21"/>
      <c r="BJ885" s="21"/>
      <c r="BK885" s="10"/>
    </row>
    <row r="886">
      <c r="A886" s="22"/>
      <c r="B886" s="22"/>
      <c r="C886" s="22"/>
      <c r="D886" s="22"/>
      <c r="E886" s="18">
        <v>13.0</v>
      </c>
      <c r="F886" s="22"/>
      <c r="G886" s="19">
        <v>162.0</v>
      </c>
      <c r="H886" s="22"/>
      <c r="I886" s="22"/>
      <c r="J886" s="22"/>
      <c r="K886" s="22"/>
      <c r="L886" s="22"/>
      <c r="M886" s="22"/>
      <c r="N886" s="22"/>
      <c r="O886" s="22"/>
      <c r="P886" s="22"/>
      <c r="Q886" s="19">
        <v>147.0</v>
      </c>
      <c r="R886" s="22"/>
      <c r="S886" s="22"/>
      <c r="T886" s="19">
        <v>642.0</v>
      </c>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10"/>
    </row>
    <row r="887">
      <c r="A887" s="16" t="s">
        <v>328</v>
      </c>
      <c r="B887" s="35" t="s">
        <v>181</v>
      </c>
      <c r="C887" s="16" t="s">
        <v>87</v>
      </c>
      <c r="D887" s="16">
        <v>3.0</v>
      </c>
      <c r="E887" s="18">
        <v>9.0</v>
      </c>
      <c r="F887" s="18">
        <v>160.0</v>
      </c>
      <c r="G887" s="16" t="s">
        <v>85</v>
      </c>
      <c r="H887" s="16" t="s">
        <v>85</v>
      </c>
      <c r="I887" s="16" t="s">
        <v>85</v>
      </c>
      <c r="J887" s="18">
        <v>320.0</v>
      </c>
      <c r="K887" s="16" t="s">
        <v>85</v>
      </c>
      <c r="L887" s="16" t="s">
        <v>85</v>
      </c>
      <c r="M887" s="16" t="s">
        <v>85</v>
      </c>
      <c r="N887" s="16" t="s">
        <v>85</v>
      </c>
      <c r="O887" s="16" t="s">
        <v>85</v>
      </c>
      <c r="P887" s="16" t="s">
        <v>85</v>
      </c>
      <c r="Q887" s="18">
        <v>160.0</v>
      </c>
      <c r="R887" s="16" t="s">
        <v>85</v>
      </c>
      <c r="S887" s="16" t="s">
        <v>85</v>
      </c>
      <c r="T887" s="18">
        <v>750.0</v>
      </c>
      <c r="U887" s="16" t="s">
        <v>85</v>
      </c>
      <c r="V887" s="16" t="s">
        <v>85</v>
      </c>
      <c r="W887" s="16" t="s">
        <v>85</v>
      </c>
      <c r="X887" s="16" t="s">
        <v>85</v>
      </c>
      <c r="Y887" s="16" t="s">
        <v>329</v>
      </c>
      <c r="Z887" s="16" t="s">
        <v>85</v>
      </c>
      <c r="AA887" s="16" t="s">
        <v>85</v>
      </c>
      <c r="AB887" s="16" t="s">
        <v>85</v>
      </c>
      <c r="AC887" s="16" t="s">
        <v>85</v>
      </c>
      <c r="AD887" s="16" t="s">
        <v>85</v>
      </c>
      <c r="AE887" s="16" t="s">
        <v>88</v>
      </c>
      <c r="AF887" s="16" t="s">
        <v>98</v>
      </c>
      <c r="AG887" s="16" t="s">
        <v>90</v>
      </c>
      <c r="AH887" s="16" t="s">
        <v>85</v>
      </c>
      <c r="AI887" s="16" t="s">
        <v>104</v>
      </c>
      <c r="AJ887" s="16" t="s">
        <v>85</v>
      </c>
      <c r="AK887" s="16" t="s">
        <v>85</v>
      </c>
      <c r="AL887" s="16" t="s">
        <v>85</v>
      </c>
      <c r="AM887" s="16" t="s">
        <v>85</v>
      </c>
      <c r="AN887" s="16" t="s">
        <v>85</v>
      </c>
      <c r="AO887" s="16" t="s">
        <v>85</v>
      </c>
      <c r="AP887" s="16" t="s">
        <v>85</v>
      </c>
      <c r="AQ887" s="16" t="s">
        <v>85</v>
      </c>
      <c r="AR887" s="16" t="s">
        <v>85</v>
      </c>
      <c r="AS887" s="16" t="s">
        <v>85</v>
      </c>
      <c r="AT887" s="16" t="s">
        <v>85</v>
      </c>
      <c r="AU887" s="16" t="s">
        <v>85</v>
      </c>
      <c r="AV887" s="16" t="s">
        <v>85</v>
      </c>
      <c r="AW887" s="16" t="s">
        <v>85</v>
      </c>
      <c r="AX887" s="16" t="s">
        <v>85</v>
      </c>
      <c r="AY887" s="16" t="s">
        <v>85</v>
      </c>
      <c r="AZ887" s="16" t="s">
        <v>85</v>
      </c>
      <c r="BA887" s="16" t="s">
        <v>85</v>
      </c>
      <c r="BB887" s="16" t="s">
        <v>85</v>
      </c>
      <c r="BC887" s="16" t="s">
        <v>85</v>
      </c>
      <c r="BD887" s="16" t="s">
        <v>85</v>
      </c>
      <c r="BE887" s="16" t="s">
        <v>85</v>
      </c>
      <c r="BF887" s="16" t="s">
        <v>85</v>
      </c>
      <c r="BG887" s="16" t="s">
        <v>85</v>
      </c>
      <c r="BH887" s="16" t="s">
        <v>85</v>
      </c>
      <c r="BI887" s="16" t="s">
        <v>85</v>
      </c>
      <c r="BJ887" s="16" t="s">
        <v>85</v>
      </c>
      <c r="BK887" s="10"/>
    </row>
    <row r="888">
      <c r="A888" s="21"/>
      <c r="B888" s="21"/>
      <c r="C888" s="21"/>
      <c r="D888" s="21"/>
      <c r="E888" s="18">
        <v>10.0</v>
      </c>
      <c r="F888" s="18">
        <v>176.0</v>
      </c>
      <c r="G888" s="21"/>
      <c r="H888" s="21"/>
      <c r="I888" s="21"/>
      <c r="J888" s="18">
        <v>352.0</v>
      </c>
      <c r="K888" s="21"/>
      <c r="L888" s="21"/>
      <c r="M888" s="21"/>
      <c r="N888" s="21"/>
      <c r="O888" s="21"/>
      <c r="P888" s="21"/>
      <c r="Q888" s="18">
        <v>176.0</v>
      </c>
      <c r="R888" s="21"/>
      <c r="S888" s="21"/>
      <c r="T888" s="19">
        <v>825.0</v>
      </c>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c r="BA888" s="21"/>
      <c r="BB888" s="21"/>
      <c r="BC888" s="21"/>
      <c r="BD888" s="21"/>
      <c r="BE888" s="21"/>
      <c r="BF888" s="21"/>
      <c r="BG888" s="21"/>
      <c r="BH888" s="21"/>
      <c r="BI888" s="21"/>
      <c r="BJ888" s="21"/>
      <c r="BK888" s="10"/>
    </row>
    <row r="889">
      <c r="A889" s="21"/>
      <c r="B889" s="21"/>
      <c r="C889" s="21"/>
      <c r="D889" s="21"/>
      <c r="E889" s="18">
        <v>11.0</v>
      </c>
      <c r="F889" s="18">
        <v>193.0</v>
      </c>
      <c r="G889" s="21"/>
      <c r="H889" s="21"/>
      <c r="I889" s="21"/>
      <c r="J889" s="18">
        <v>387.0</v>
      </c>
      <c r="K889" s="21"/>
      <c r="L889" s="21"/>
      <c r="M889" s="21"/>
      <c r="N889" s="21"/>
      <c r="O889" s="21"/>
      <c r="P889" s="21"/>
      <c r="Q889" s="18">
        <v>193.0</v>
      </c>
      <c r="R889" s="21"/>
      <c r="S889" s="21"/>
      <c r="T889" s="19">
        <v>907.0</v>
      </c>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c r="BA889" s="21"/>
      <c r="BB889" s="21"/>
      <c r="BC889" s="21"/>
      <c r="BD889" s="21"/>
      <c r="BE889" s="21"/>
      <c r="BF889" s="21"/>
      <c r="BG889" s="21"/>
      <c r="BH889" s="21"/>
      <c r="BI889" s="21"/>
      <c r="BJ889" s="21"/>
      <c r="BK889" s="10"/>
    </row>
    <row r="890">
      <c r="A890" s="21"/>
      <c r="B890" s="21"/>
      <c r="C890" s="21"/>
      <c r="D890" s="21"/>
      <c r="E890" s="18">
        <v>12.0</v>
      </c>
      <c r="F890" s="18">
        <v>212.0</v>
      </c>
      <c r="G890" s="21"/>
      <c r="H890" s="21"/>
      <c r="I890" s="21"/>
      <c r="J890" s="18">
        <v>425.0</v>
      </c>
      <c r="K890" s="21"/>
      <c r="L890" s="21"/>
      <c r="M890" s="21"/>
      <c r="N890" s="21"/>
      <c r="O890" s="21"/>
      <c r="P890" s="21"/>
      <c r="Q890" s="18">
        <v>212.0</v>
      </c>
      <c r="R890" s="21"/>
      <c r="S890" s="21"/>
      <c r="T890" s="19">
        <v>997.0</v>
      </c>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c r="BA890" s="21"/>
      <c r="BB890" s="21"/>
      <c r="BC890" s="21"/>
      <c r="BD890" s="21"/>
      <c r="BE890" s="21"/>
      <c r="BF890" s="21"/>
      <c r="BG890" s="21"/>
      <c r="BH890" s="21"/>
      <c r="BI890" s="21"/>
      <c r="BJ890" s="21"/>
      <c r="BK890" s="10"/>
    </row>
    <row r="891">
      <c r="A891" s="22"/>
      <c r="B891" s="22"/>
      <c r="C891" s="22"/>
      <c r="D891" s="22"/>
      <c r="E891" s="18">
        <v>13.0</v>
      </c>
      <c r="F891" s="18">
        <v>233.0</v>
      </c>
      <c r="G891" s="22"/>
      <c r="H891" s="22"/>
      <c r="I891" s="22"/>
      <c r="J891" s="18">
        <v>467.0</v>
      </c>
      <c r="K891" s="22"/>
      <c r="L891" s="22"/>
      <c r="M891" s="22"/>
      <c r="N891" s="22"/>
      <c r="O891" s="22"/>
      <c r="P891" s="22"/>
      <c r="Q891" s="18">
        <v>233.0</v>
      </c>
      <c r="R891" s="22"/>
      <c r="S891" s="22"/>
      <c r="T891" s="19">
        <v>1095.0</v>
      </c>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10"/>
    </row>
    <row r="892">
      <c r="A892" s="12" t="s">
        <v>330</v>
      </c>
      <c r="B892" s="13" t="s">
        <v>331</v>
      </c>
      <c r="C892" s="14"/>
      <c r="D892" s="14"/>
      <c r="E892" s="15"/>
      <c r="F892" s="29"/>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5"/>
      <c r="BK892" s="10"/>
    </row>
    <row r="893">
      <c r="A893" s="16" t="s">
        <v>332</v>
      </c>
      <c r="B893" s="17" t="s">
        <v>83</v>
      </c>
      <c r="C893" s="16" t="s">
        <v>87</v>
      </c>
      <c r="D893" s="16">
        <v>3.0</v>
      </c>
      <c r="E893" s="18">
        <v>1.0</v>
      </c>
      <c r="F893" s="18" t="s">
        <v>333</v>
      </c>
      <c r="G893" s="16" t="s">
        <v>85</v>
      </c>
      <c r="H893" s="16" t="s">
        <v>85</v>
      </c>
      <c r="I893" s="16" t="s">
        <v>85</v>
      </c>
      <c r="J893" s="16" t="s">
        <v>85</v>
      </c>
      <c r="K893" s="16" t="s">
        <v>85</v>
      </c>
      <c r="L893" s="16" t="s">
        <v>85</v>
      </c>
      <c r="M893" s="16" t="s">
        <v>85</v>
      </c>
      <c r="N893" s="16" t="s">
        <v>85</v>
      </c>
      <c r="O893" s="16" t="s">
        <v>85</v>
      </c>
      <c r="P893" s="16" t="s">
        <v>85</v>
      </c>
      <c r="Q893" s="18" t="s">
        <v>334</v>
      </c>
      <c r="R893" s="16" t="s">
        <v>85</v>
      </c>
      <c r="S893" s="16" t="s">
        <v>85</v>
      </c>
      <c r="T893" s="18">
        <v>119.0</v>
      </c>
      <c r="U893" s="16" t="s">
        <v>85</v>
      </c>
      <c r="V893" s="16" t="s">
        <v>85</v>
      </c>
      <c r="W893" s="16" t="s">
        <v>85</v>
      </c>
      <c r="X893" s="16" t="s">
        <v>85</v>
      </c>
      <c r="Y893" s="16" t="s">
        <v>85</v>
      </c>
      <c r="Z893" s="16" t="s">
        <v>85</v>
      </c>
      <c r="AA893" s="16" t="s">
        <v>85</v>
      </c>
      <c r="AB893" s="16" t="s">
        <v>85</v>
      </c>
      <c r="AC893" s="16" t="s">
        <v>85</v>
      </c>
      <c r="AD893" s="16" t="s">
        <v>85</v>
      </c>
      <c r="AE893" s="16" t="s">
        <v>193</v>
      </c>
      <c r="AF893" s="16" t="s">
        <v>89</v>
      </c>
      <c r="AG893" s="16" t="s">
        <v>90</v>
      </c>
      <c r="AH893" s="16" t="s">
        <v>85</v>
      </c>
      <c r="AI893" s="16">
        <v>6.0</v>
      </c>
      <c r="AJ893" s="16" t="s">
        <v>85</v>
      </c>
      <c r="AK893" s="16" t="s">
        <v>85</v>
      </c>
      <c r="AL893" s="16" t="s">
        <v>85</v>
      </c>
      <c r="AM893" s="16" t="s">
        <v>85</v>
      </c>
      <c r="AN893" s="16" t="s">
        <v>85</v>
      </c>
      <c r="AO893" s="16" t="s">
        <v>85</v>
      </c>
      <c r="AP893" s="16" t="s">
        <v>85</v>
      </c>
      <c r="AQ893" s="16" t="s">
        <v>85</v>
      </c>
      <c r="AR893" s="16" t="s">
        <v>85</v>
      </c>
      <c r="AS893" s="16" t="s">
        <v>85</v>
      </c>
      <c r="AT893" s="16" t="s">
        <v>85</v>
      </c>
      <c r="AU893" s="16" t="s">
        <v>85</v>
      </c>
      <c r="AV893" s="16" t="s">
        <v>85</v>
      </c>
      <c r="AW893" s="16" t="s">
        <v>85</v>
      </c>
      <c r="AX893" s="16" t="s">
        <v>85</v>
      </c>
      <c r="AY893" s="16" t="s">
        <v>85</v>
      </c>
      <c r="AZ893" s="16" t="s">
        <v>85</v>
      </c>
      <c r="BA893" s="16" t="s">
        <v>85</v>
      </c>
      <c r="BB893" s="16" t="s">
        <v>85</v>
      </c>
      <c r="BC893" s="16" t="s">
        <v>85</v>
      </c>
      <c r="BD893" s="16" t="s">
        <v>85</v>
      </c>
      <c r="BE893" s="16" t="s">
        <v>85</v>
      </c>
      <c r="BF893" s="16" t="s">
        <v>85</v>
      </c>
      <c r="BG893" s="16" t="s">
        <v>85</v>
      </c>
      <c r="BH893" s="16" t="s">
        <v>85</v>
      </c>
      <c r="BI893" s="16" t="s">
        <v>85</v>
      </c>
      <c r="BJ893" s="16" t="s">
        <v>85</v>
      </c>
      <c r="BK893" s="10"/>
    </row>
    <row r="894">
      <c r="A894" s="21"/>
      <c r="B894" s="21"/>
      <c r="C894" s="21"/>
      <c r="D894" s="21"/>
      <c r="E894" s="18">
        <v>2.0</v>
      </c>
      <c r="F894" s="18" t="s">
        <v>335</v>
      </c>
      <c r="G894" s="21"/>
      <c r="H894" s="21"/>
      <c r="I894" s="21"/>
      <c r="J894" s="21"/>
      <c r="K894" s="21"/>
      <c r="L894" s="21"/>
      <c r="M894" s="21"/>
      <c r="N894" s="21"/>
      <c r="O894" s="21"/>
      <c r="P894" s="21"/>
      <c r="Q894" s="18" t="s">
        <v>336</v>
      </c>
      <c r="R894" s="21"/>
      <c r="S894" s="21"/>
      <c r="T894" s="19">
        <v>130.0</v>
      </c>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c r="BA894" s="21"/>
      <c r="BB894" s="21"/>
      <c r="BC894" s="21"/>
      <c r="BD894" s="21"/>
      <c r="BE894" s="21"/>
      <c r="BF894" s="21"/>
      <c r="BG894" s="21"/>
      <c r="BH894" s="21"/>
      <c r="BI894" s="21"/>
      <c r="BJ894" s="21"/>
      <c r="BK894" s="10"/>
    </row>
    <row r="895">
      <c r="A895" s="21"/>
      <c r="B895" s="21"/>
      <c r="C895" s="21"/>
      <c r="D895" s="21"/>
      <c r="E895" s="18">
        <v>3.0</v>
      </c>
      <c r="F895" s="18" t="s">
        <v>337</v>
      </c>
      <c r="G895" s="21"/>
      <c r="H895" s="21"/>
      <c r="I895" s="21"/>
      <c r="J895" s="21"/>
      <c r="K895" s="21"/>
      <c r="L895" s="21"/>
      <c r="M895" s="21"/>
      <c r="N895" s="21"/>
      <c r="O895" s="21"/>
      <c r="P895" s="21"/>
      <c r="Q895" s="18" t="s">
        <v>338</v>
      </c>
      <c r="R895" s="21"/>
      <c r="S895" s="21"/>
      <c r="T895" s="19">
        <v>143.0</v>
      </c>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c r="BA895" s="21"/>
      <c r="BB895" s="21"/>
      <c r="BC895" s="21"/>
      <c r="BD895" s="21"/>
      <c r="BE895" s="21"/>
      <c r="BF895" s="21"/>
      <c r="BG895" s="21"/>
      <c r="BH895" s="21"/>
      <c r="BI895" s="21"/>
      <c r="BJ895" s="21"/>
      <c r="BK895" s="10"/>
    </row>
    <row r="896">
      <c r="A896" s="21"/>
      <c r="B896" s="21"/>
      <c r="C896" s="21"/>
      <c r="D896" s="21"/>
      <c r="E896" s="18">
        <v>4.0</v>
      </c>
      <c r="F896" s="18" t="s">
        <v>339</v>
      </c>
      <c r="G896" s="21"/>
      <c r="H896" s="21"/>
      <c r="I896" s="21"/>
      <c r="J896" s="21"/>
      <c r="K896" s="21"/>
      <c r="L896" s="21"/>
      <c r="M896" s="21"/>
      <c r="N896" s="21"/>
      <c r="O896" s="21"/>
      <c r="P896" s="21"/>
      <c r="Q896" s="18" t="s">
        <v>340</v>
      </c>
      <c r="R896" s="21"/>
      <c r="S896" s="21"/>
      <c r="T896" s="19">
        <v>158.0</v>
      </c>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c r="BE896" s="21"/>
      <c r="BF896" s="21"/>
      <c r="BG896" s="21"/>
      <c r="BH896" s="21"/>
      <c r="BI896" s="21"/>
      <c r="BJ896" s="21"/>
      <c r="BK896" s="10"/>
    </row>
    <row r="897">
      <c r="A897" s="21"/>
      <c r="B897" s="21"/>
      <c r="C897" s="21"/>
      <c r="D897" s="21"/>
      <c r="E897" s="18">
        <v>5.0</v>
      </c>
      <c r="F897" s="18" t="s">
        <v>341</v>
      </c>
      <c r="G897" s="21"/>
      <c r="H897" s="21"/>
      <c r="I897" s="21"/>
      <c r="J897" s="21"/>
      <c r="K897" s="21"/>
      <c r="L897" s="21"/>
      <c r="M897" s="21"/>
      <c r="N897" s="21"/>
      <c r="O897" s="21"/>
      <c r="P897" s="21"/>
      <c r="Q897" s="18" t="s">
        <v>342</v>
      </c>
      <c r="R897" s="21"/>
      <c r="S897" s="21"/>
      <c r="T897" s="19">
        <v>173.0</v>
      </c>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c r="BE897" s="21"/>
      <c r="BF897" s="21"/>
      <c r="BG897" s="21"/>
      <c r="BH897" s="21"/>
      <c r="BI897" s="21"/>
      <c r="BJ897" s="21"/>
      <c r="BK897" s="10"/>
    </row>
    <row r="898">
      <c r="A898" s="21"/>
      <c r="B898" s="21"/>
      <c r="C898" s="21"/>
      <c r="D898" s="21"/>
      <c r="E898" s="18">
        <v>6.0</v>
      </c>
      <c r="F898" s="18" t="s">
        <v>343</v>
      </c>
      <c r="G898" s="21"/>
      <c r="H898" s="21"/>
      <c r="I898" s="21"/>
      <c r="J898" s="21"/>
      <c r="K898" s="21"/>
      <c r="L898" s="21"/>
      <c r="M898" s="21"/>
      <c r="N898" s="21"/>
      <c r="O898" s="21"/>
      <c r="P898" s="21"/>
      <c r="Q898" s="18" t="s">
        <v>344</v>
      </c>
      <c r="R898" s="21"/>
      <c r="S898" s="21"/>
      <c r="T898" s="19">
        <v>190.0</v>
      </c>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c r="BE898" s="21"/>
      <c r="BF898" s="21"/>
      <c r="BG898" s="21"/>
      <c r="BH898" s="21"/>
      <c r="BI898" s="21"/>
      <c r="BJ898" s="21"/>
      <c r="BK898" s="10"/>
    </row>
    <row r="899">
      <c r="A899" s="21"/>
      <c r="B899" s="21"/>
      <c r="C899" s="21"/>
      <c r="D899" s="21"/>
      <c r="E899" s="18">
        <v>7.0</v>
      </c>
      <c r="F899" s="18" t="s">
        <v>345</v>
      </c>
      <c r="G899" s="21"/>
      <c r="H899" s="21"/>
      <c r="I899" s="21"/>
      <c r="J899" s="21"/>
      <c r="K899" s="21"/>
      <c r="L899" s="21"/>
      <c r="M899" s="21"/>
      <c r="N899" s="21"/>
      <c r="O899" s="21"/>
      <c r="P899" s="21"/>
      <c r="Q899" s="18" t="s">
        <v>346</v>
      </c>
      <c r="R899" s="21"/>
      <c r="S899" s="21"/>
      <c r="T899" s="19">
        <v>209.0</v>
      </c>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c r="BE899" s="21"/>
      <c r="BF899" s="21"/>
      <c r="BG899" s="21"/>
      <c r="BH899" s="21"/>
      <c r="BI899" s="21"/>
      <c r="BJ899" s="21"/>
      <c r="BK899" s="10"/>
    </row>
    <row r="900">
      <c r="A900" s="21"/>
      <c r="B900" s="21"/>
      <c r="C900" s="21"/>
      <c r="D900" s="21"/>
      <c r="E900" s="18">
        <v>8.0</v>
      </c>
      <c r="F900" s="18" t="s">
        <v>347</v>
      </c>
      <c r="G900" s="21"/>
      <c r="H900" s="21"/>
      <c r="I900" s="21"/>
      <c r="J900" s="21"/>
      <c r="K900" s="21"/>
      <c r="L900" s="21"/>
      <c r="M900" s="21"/>
      <c r="N900" s="21"/>
      <c r="O900" s="21"/>
      <c r="P900" s="21"/>
      <c r="Q900" s="18" t="s">
        <v>348</v>
      </c>
      <c r="R900" s="21"/>
      <c r="S900" s="21"/>
      <c r="T900" s="19">
        <v>229.0</v>
      </c>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c r="BE900" s="21"/>
      <c r="BF900" s="21"/>
      <c r="BG900" s="21"/>
      <c r="BH900" s="21"/>
      <c r="BI900" s="21"/>
      <c r="BJ900" s="21"/>
      <c r="BK900" s="10"/>
    </row>
    <row r="901">
      <c r="A901" s="21"/>
      <c r="B901" s="21"/>
      <c r="C901" s="21"/>
      <c r="D901" s="21"/>
      <c r="E901" s="18">
        <v>9.0</v>
      </c>
      <c r="F901" s="18" t="s">
        <v>349</v>
      </c>
      <c r="G901" s="21"/>
      <c r="H901" s="21"/>
      <c r="I901" s="21"/>
      <c r="J901" s="21"/>
      <c r="K901" s="21"/>
      <c r="L901" s="21"/>
      <c r="M901" s="21"/>
      <c r="N901" s="21"/>
      <c r="O901" s="21"/>
      <c r="P901" s="21"/>
      <c r="Q901" s="18" t="s">
        <v>350</v>
      </c>
      <c r="R901" s="21"/>
      <c r="S901" s="21"/>
      <c r="T901" s="19">
        <v>252.0</v>
      </c>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c r="BE901" s="21"/>
      <c r="BF901" s="21"/>
      <c r="BG901" s="21"/>
      <c r="BH901" s="21"/>
      <c r="BI901" s="21"/>
      <c r="BJ901" s="21"/>
      <c r="BK901" s="10"/>
    </row>
    <row r="902">
      <c r="A902" s="21"/>
      <c r="B902" s="21"/>
      <c r="C902" s="21"/>
      <c r="D902" s="21"/>
      <c r="E902" s="18">
        <v>10.0</v>
      </c>
      <c r="F902" s="18" t="s">
        <v>351</v>
      </c>
      <c r="G902" s="21"/>
      <c r="H902" s="21"/>
      <c r="I902" s="21"/>
      <c r="J902" s="21"/>
      <c r="K902" s="21"/>
      <c r="L902" s="21"/>
      <c r="M902" s="21"/>
      <c r="N902" s="21"/>
      <c r="O902" s="21"/>
      <c r="P902" s="21"/>
      <c r="Q902" s="18" t="s">
        <v>352</v>
      </c>
      <c r="R902" s="21"/>
      <c r="S902" s="21"/>
      <c r="T902" s="19">
        <v>277.0</v>
      </c>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c r="BE902" s="21"/>
      <c r="BF902" s="21"/>
      <c r="BG902" s="21"/>
      <c r="BH902" s="21"/>
      <c r="BI902" s="21"/>
      <c r="BJ902" s="21"/>
      <c r="BK902" s="10"/>
    </row>
    <row r="903">
      <c r="A903" s="21"/>
      <c r="B903" s="21"/>
      <c r="C903" s="21"/>
      <c r="D903" s="21"/>
      <c r="E903" s="18">
        <v>11.0</v>
      </c>
      <c r="F903" s="18" t="s">
        <v>353</v>
      </c>
      <c r="G903" s="21"/>
      <c r="H903" s="21"/>
      <c r="I903" s="21"/>
      <c r="J903" s="21"/>
      <c r="K903" s="21"/>
      <c r="L903" s="21"/>
      <c r="M903" s="21"/>
      <c r="N903" s="21"/>
      <c r="O903" s="21"/>
      <c r="P903" s="21"/>
      <c r="Q903" s="18" t="s">
        <v>354</v>
      </c>
      <c r="R903" s="21"/>
      <c r="S903" s="21"/>
      <c r="T903" s="19">
        <v>304.0</v>
      </c>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c r="BE903" s="21"/>
      <c r="BF903" s="21"/>
      <c r="BG903" s="21"/>
      <c r="BH903" s="21"/>
      <c r="BI903" s="21"/>
      <c r="BJ903" s="21"/>
      <c r="BK903" s="10"/>
    </row>
    <row r="904">
      <c r="A904" s="21"/>
      <c r="B904" s="21"/>
      <c r="C904" s="21"/>
      <c r="D904" s="21"/>
      <c r="E904" s="18">
        <v>12.0</v>
      </c>
      <c r="F904" s="18" t="s">
        <v>355</v>
      </c>
      <c r="G904" s="21"/>
      <c r="H904" s="21"/>
      <c r="I904" s="21"/>
      <c r="J904" s="21"/>
      <c r="K904" s="21"/>
      <c r="L904" s="21"/>
      <c r="M904" s="21"/>
      <c r="N904" s="21"/>
      <c r="O904" s="21"/>
      <c r="P904" s="21"/>
      <c r="Q904" s="18" t="s">
        <v>356</v>
      </c>
      <c r="R904" s="21"/>
      <c r="S904" s="21"/>
      <c r="T904" s="19">
        <v>334.0</v>
      </c>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c r="BE904" s="21"/>
      <c r="BF904" s="21"/>
      <c r="BG904" s="21"/>
      <c r="BH904" s="21"/>
      <c r="BI904" s="21"/>
      <c r="BJ904" s="21"/>
      <c r="BK904" s="10"/>
    </row>
    <row r="905">
      <c r="A905" s="22"/>
      <c r="B905" s="22"/>
      <c r="C905" s="22"/>
      <c r="D905" s="22"/>
      <c r="E905" s="18">
        <v>13.0</v>
      </c>
      <c r="F905" s="18" t="s">
        <v>357</v>
      </c>
      <c r="G905" s="22"/>
      <c r="H905" s="22"/>
      <c r="I905" s="22"/>
      <c r="J905" s="22"/>
      <c r="K905" s="22"/>
      <c r="L905" s="22"/>
      <c r="M905" s="22"/>
      <c r="N905" s="22"/>
      <c r="O905" s="22"/>
      <c r="P905" s="22"/>
      <c r="Q905" s="18" t="s">
        <v>333</v>
      </c>
      <c r="R905" s="22"/>
      <c r="S905" s="22"/>
      <c r="T905" s="19">
        <v>367.0</v>
      </c>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10"/>
    </row>
    <row r="906">
      <c r="A906" s="16" t="s">
        <v>358</v>
      </c>
      <c r="B906" s="27" t="s">
        <v>101</v>
      </c>
      <c r="C906" s="16" t="s">
        <v>117</v>
      </c>
      <c r="D906" s="16">
        <v>7.0</v>
      </c>
      <c r="E906" s="18">
        <v>3.0</v>
      </c>
      <c r="F906" s="16" t="s">
        <v>85</v>
      </c>
      <c r="G906" s="16" t="s">
        <v>85</v>
      </c>
      <c r="H906" s="16" t="s">
        <v>85</v>
      </c>
      <c r="I906" s="16" t="s">
        <v>85</v>
      </c>
      <c r="J906" s="16" t="s">
        <v>85</v>
      </c>
      <c r="K906" s="16" t="s">
        <v>85</v>
      </c>
      <c r="L906" s="16" t="s">
        <v>85</v>
      </c>
      <c r="M906" s="16" t="s">
        <v>85</v>
      </c>
      <c r="N906" s="16" t="s">
        <v>85</v>
      </c>
      <c r="O906" s="16" t="s">
        <v>85</v>
      </c>
      <c r="P906" s="16" t="s">
        <v>85</v>
      </c>
      <c r="Q906" s="16" t="s">
        <v>85</v>
      </c>
      <c r="R906" s="16" t="s">
        <v>85</v>
      </c>
      <c r="S906" s="16" t="s">
        <v>85</v>
      </c>
      <c r="T906" s="18">
        <v>650.0</v>
      </c>
      <c r="U906" s="16" t="s">
        <v>85</v>
      </c>
      <c r="V906" s="16" t="s">
        <v>85</v>
      </c>
      <c r="W906" s="16" t="s">
        <v>139</v>
      </c>
      <c r="X906" s="18">
        <v>3.0</v>
      </c>
      <c r="Y906" s="16" t="s">
        <v>85</v>
      </c>
      <c r="Z906" s="16" t="s">
        <v>85</v>
      </c>
      <c r="AA906" s="16" t="s">
        <v>85</v>
      </c>
      <c r="AB906" s="16" t="s">
        <v>85</v>
      </c>
      <c r="AC906" s="16" t="s">
        <v>359</v>
      </c>
      <c r="AD906" s="16" t="s">
        <v>85</v>
      </c>
      <c r="AE906" s="16" t="s">
        <v>85</v>
      </c>
      <c r="AF906" s="16" t="s">
        <v>85</v>
      </c>
      <c r="AG906" s="16" t="s">
        <v>85</v>
      </c>
      <c r="AH906" s="16" t="s">
        <v>85</v>
      </c>
      <c r="AI906" s="16" t="s">
        <v>85</v>
      </c>
      <c r="AJ906" s="16" t="s">
        <v>85</v>
      </c>
      <c r="AK906" s="16" t="s">
        <v>85</v>
      </c>
      <c r="AL906" s="16" t="s">
        <v>360</v>
      </c>
      <c r="AM906" s="16" t="s">
        <v>85</v>
      </c>
      <c r="AN906" s="16" t="s">
        <v>85</v>
      </c>
      <c r="AO906" s="16" t="s">
        <v>85</v>
      </c>
      <c r="AP906" s="16" t="s">
        <v>85</v>
      </c>
      <c r="AQ906" s="16" t="s">
        <v>85</v>
      </c>
      <c r="AR906" s="16" t="s">
        <v>85</v>
      </c>
      <c r="AS906" s="16" t="s">
        <v>85</v>
      </c>
      <c r="AT906" s="16" t="s">
        <v>85</v>
      </c>
      <c r="AU906" s="16" t="s">
        <v>85</v>
      </c>
      <c r="AV906" s="16" t="s">
        <v>85</v>
      </c>
      <c r="AW906" s="16" t="s">
        <v>85</v>
      </c>
      <c r="AX906" s="16" t="s">
        <v>85</v>
      </c>
      <c r="AY906" s="16" t="s">
        <v>85</v>
      </c>
      <c r="AZ906" s="16" t="s">
        <v>85</v>
      </c>
      <c r="BA906" s="16" t="s">
        <v>85</v>
      </c>
      <c r="BB906" s="16" t="s">
        <v>85</v>
      </c>
      <c r="BC906" s="16" t="s">
        <v>85</v>
      </c>
      <c r="BD906" s="16" t="s">
        <v>85</v>
      </c>
      <c r="BE906" s="16" t="s">
        <v>85</v>
      </c>
      <c r="BF906" s="16" t="s">
        <v>85</v>
      </c>
      <c r="BG906" s="16" t="s">
        <v>85</v>
      </c>
      <c r="BH906" s="16" t="s">
        <v>85</v>
      </c>
      <c r="BI906" s="16" t="s">
        <v>85</v>
      </c>
      <c r="BJ906" s="16" t="s">
        <v>85</v>
      </c>
      <c r="BK906" s="10"/>
    </row>
    <row r="907">
      <c r="A907" s="21"/>
      <c r="B907" s="21"/>
      <c r="C907" s="21"/>
      <c r="D907" s="21"/>
      <c r="E907" s="18">
        <v>4.0</v>
      </c>
      <c r="F907" s="21"/>
      <c r="G907" s="21"/>
      <c r="H907" s="21"/>
      <c r="I907" s="21"/>
      <c r="J907" s="21"/>
      <c r="K907" s="21"/>
      <c r="L907" s="21"/>
      <c r="M907" s="21"/>
      <c r="N907" s="21"/>
      <c r="O907" s="21"/>
      <c r="P907" s="21"/>
      <c r="Q907" s="21"/>
      <c r="R907" s="21"/>
      <c r="S907" s="21"/>
      <c r="T907" s="19">
        <v>715.0</v>
      </c>
      <c r="U907" s="21"/>
      <c r="V907" s="21"/>
      <c r="W907" s="21"/>
      <c r="X907" s="18">
        <v>4.0</v>
      </c>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c r="BE907" s="21"/>
      <c r="BF907" s="21"/>
      <c r="BG907" s="21"/>
      <c r="BH907" s="21"/>
      <c r="BI907" s="21"/>
      <c r="BJ907" s="21"/>
      <c r="BK907" s="10"/>
    </row>
    <row r="908">
      <c r="A908" s="21"/>
      <c r="B908" s="21"/>
      <c r="C908" s="21"/>
      <c r="D908" s="21"/>
      <c r="E908" s="18">
        <v>5.0</v>
      </c>
      <c r="F908" s="21"/>
      <c r="G908" s="21"/>
      <c r="H908" s="21"/>
      <c r="I908" s="21"/>
      <c r="J908" s="21"/>
      <c r="K908" s="21"/>
      <c r="L908" s="21"/>
      <c r="M908" s="21"/>
      <c r="N908" s="21"/>
      <c r="O908" s="21"/>
      <c r="P908" s="21"/>
      <c r="Q908" s="21"/>
      <c r="R908" s="21"/>
      <c r="S908" s="21"/>
      <c r="T908" s="19">
        <v>786.0</v>
      </c>
      <c r="U908" s="21"/>
      <c r="V908" s="21"/>
      <c r="W908" s="21"/>
      <c r="X908" s="18">
        <v>5.0</v>
      </c>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c r="BE908" s="21"/>
      <c r="BF908" s="21"/>
      <c r="BG908" s="21"/>
      <c r="BH908" s="21"/>
      <c r="BI908" s="21"/>
      <c r="BJ908" s="21"/>
      <c r="BK908" s="10"/>
    </row>
    <row r="909">
      <c r="A909" s="21"/>
      <c r="B909" s="21"/>
      <c r="C909" s="21"/>
      <c r="D909" s="21"/>
      <c r="E909" s="18">
        <v>6.0</v>
      </c>
      <c r="F909" s="21"/>
      <c r="G909" s="21"/>
      <c r="H909" s="21"/>
      <c r="I909" s="21"/>
      <c r="J909" s="21"/>
      <c r="K909" s="21"/>
      <c r="L909" s="21"/>
      <c r="M909" s="21"/>
      <c r="N909" s="21"/>
      <c r="O909" s="21"/>
      <c r="P909" s="21"/>
      <c r="Q909" s="21"/>
      <c r="R909" s="21"/>
      <c r="S909" s="21"/>
      <c r="T909" s="19">
        <v>864.0</v>
      </c>
      <c r="U909" s="21"/>
      <c r="V909" s="21"/>
      <c r="W909" s="21"/>
      <c r="X909" s="18">
        <v>6.0</v>
      </c>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c r="BA909" s="21"/>
      <c r="BB909" s="21"/>
      <c r="BC909" s="21"/>
      <c r="BD909" s="21"/>
      <c r="BE909" s="21"/>
      <c r="BF909" s="21"/>
      <c r="BG909" s="21"/>
      <c r="BH909" s="21"/>
      <c r="BI909" s="21"/>
      <c r="BJ909" s="21"/>
      <c r="BK909" s="10"/>
    </row>
    <row r="910">
      <c r="A910" s="21"/>
      <c r="B910" s="21"/>
      <c r="C910" s="21"/>
      <c r="D910" s="21"/>
      <c r="E910" s="18">
        <v>7.0</v>
      </c>
      <c r="F910" s="21"/>
      <c r="G910" s="21"/>
      <c r="H910" s="21"/>
      <c r="I910" s="21"/>
      <c r="J910" s="21"/>
      <c r="K910" s="21"/>
      <c r="L910" s="21"/>
      <c r="M910" s="21"/>
      <c r="N910" s="21"/>
      <c r="O910" s="21"/>
      <c r="P910" s="21"/>
      <c r="Q910" s="21"/>
      <c r="R910" s="21"/>
      <c r="S910" s="21"/>
      <c r="T910" s="19">
        <v>949.0</v>
      </c>
      <c r="U910" s="21"/>
      <c r="V910" s="21"/>
      <c r="W910" s="21"/>
      <c r="X910" s="18">
        <v>7.0</v>
      </c>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c r="BA910" s="21"/>
      <c r="BB910" s="21"/>
      <c r="BC910" s="21"/>
      <c r="BD910" s="21"/>
      <c r="BE910" s="21"/>
      <c r="BF910" s="21"/>
      <c r="BG910" s="21"/>
      <c r="BH910" s="21"/>
      <c r="BI910" s="21"/>
      <c r="BJ910" s="21"/>
      <c r="BK910" s="10"/>
    </row>
    <row r="911">
      <c r="A911" s="21"/>
      <c r="B911" s="21"/>
      <c r="C911" s="21"/>
      <c r="D911" s="21"/>
      <c r="E911" s="18">
        <v>8.0</v>
      </c>
      <c r="F911" s="21"/>
      <c r="G911" s="21"/>
      <c r="H911" s="21"/>
      <c r="I911" s="21"/>
      <c r="J911" s="21"/>
      <c r="K911" s="21"/>
      <c r="L911" s="21"/>
      <c r="M911" s="21"/>
      <c r="N911" s="21"/>
      <c r="O911" s="21"/>
      <c r="P911" s="21"/>
      <c r="Q911" s="21"/>
      <c r="R911" s="21"/>
      <c r="S911" s="21"/>
      <c r="T911" s="19">
        <v>1040.0</v>
      </c>
      <c r="U911" s="21"/>
      <c r="V911" s="21"/>
      <c r="W911" s="21"/>
      <c r="X911" s="18">
        <v>8.0</v>
      </c>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c r="BE911" s="21"/>
      <c r="BF911" s="21"/>
      <c r="BG911" s="21"/>
      <c r="BH911" s="21"/>
      <c r="BI911" s="21"/>
      <c r="BJ911" s="21"/>
      <c r="BK911" s="10"/>
    </row>
    <row r="912">
      <c r="A912" s="21"/>
      <c r="B912" s="21"/>
      <c r="C912" s="21"/>
      <c r="D912" s="21"/>
      <c r="E912" s="18">
        <v>9.0</v>
      </c>
      <c r="F912" s="21"/>
      <c r="G912" s="21"/>
      <c r="H912" s="21"/>
      <c r="I912" s="21"/>
      <c r="J912" s="21"/>
      <c r="K912" s="21"/>
      <c r="L912" s="21"/>
      <c r="M912" s="21"/>
      <c r="N912" s="21"/>
      <c r="O912" s="21"/>
      <c r="P912" s="21"/>
      <c r="Q912" s="21"/>
      <c r="R912" s="21"/>
      <c r="S912" s="21"/>
      <c r="T912" s="19">
        <v>1144.0</v>
      </c>
      <c r="U912" s="21"/>
      <c r="V912" s="21"/>
      <c r="W912" s="21"/>
      <c r="X912" s="18">
        <v>9.0</v>
      </c>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c r="BE912" s="21"/>
      <c r="BF912" s="21"/>
      <c r="BG912" s="21"/>
      <c r="BH912" s="21"/>
      <c r="BI912" s="21"/>
      <c r="BJ912" s="21"/>
      <c r="BK912" s="10"/>
    </row>
    <row r="913">
      <c r="A913" s="21"/>
      <c r="B913" s="21"/>
      <c r="C913" s="21"/>
      <c r="D913" s="21"/>
      <c r="E913" s="18">
        <v>10.0</v>
      </c>
      <c r="F913" s="21"/>
      <c r="G913" s="21"/>
      <c r="H913" s="21"/>
      <c r="I913" s="21"/>
      <c r="J913" s="21"/>
      <c r="K913" s="21"/>
      <c r="L913" s="21"/>
      <c r="M913" s="21"/>
      <c r="N913" s="21"/>
      <c r="O913" s="21"/>
      <c r="P913" s="21"/>
      <c r="Q913" s="21"/>
      <c r="R913" s="21"/>
      <c r="S913" s="21"/>
      <c r="T913" s="19">
        <v>1254.0</v>
      </c>
      <c r="U913" s="21"/>
      <c r="V913" s="21"/>
      <c r="W913" s="21"/>
      <c r="X913" s="18">
        <v>10.0</v>
      </c>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c r="BE913" s="21"/>
      <c r="BF913" s="21"/>
      <c r="BG913" s="21"/>
      <c r="BH913" s="21"/>
      <c r="BI913" s="21"/>
      <c r="BJ913" s="21"/>
      <c r="BK913" s="10"/>
    </row>
    <row r="914">
      <c r="A914" s="21"/>
      <c r="B914" s="21"/>
      <c r="C914" s="21"/>
      <c r="D914" s="21"/>
      <c r="E914" s="18">
        <v>11.0</v>
      </c>
      <c r="F914" s="21"/>
      <c r="G914" s="21"/>
      <c r="H914" s="21"/>
      <c r="I914" s="21"/>
      <c r="J914" s="21"/>
      <c r="K914" s="21"/>
      <c r="L914" s="21"/>
      <c r="M914" s="21"/>
      <c r="N914" s="21"/>
      <c r="O914" s="21"/>
      <c r="P914" s="21"/>
      <c r="Q914" s="21"/>
      <c r="R914" s="21"/>
      <c r="S914" s="21"/>
      <c r="T914" s="19">
        <v>1378.0</v>
      </c>
      <c r="U914" s="21"/>
      <c r="V914" s="21"/>
      <c r="W914" s="21"/>
      <c r="X914" s="18">
        <v>11.0</v>
      </c>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c r="BE914" s="21"/>
      <c r="BF914" s="21"/>
      <c r="BG914" s="21"/>
      <c r="BH914" s="21"/>
      <c r="BI914" s="21"/>
      <c r="BJ914" s="21"/>
      <c r="BK914" s="10"/>
    </row>
    <row r="915">
      <c r="A915" s="21"/>
      <c r="B915" s="21"/>
      <c r="C915" s="21"/>
      <c r="D915" s="21"/>
      <c r="E915" s="18">
        <v>12.0</v>
      </c>
      <c r="F915" s="21"/>
      <c r="G915" s="21"/>
      <c r="H915" s="21"/>
      <c r="I915" s="21"/>
      <c r="J915" s="21"/>
      <c r="K915" s="21"/>
      <c r="L915" s="21"/>
      <c r="M915" s="21"/>
      <c r="N915" s="21"/>
      <c r="O915" s="21"/>
      <c r="P915" s="21"/>
      <c r="Q915" s="21"/>
      <c r="R915" s="21"/>
      <c r="S915" s="21"/>
      <c r="T915" s="19">
        <v>1514.0</v>
      </c>
      <c r="U915" s="21"/>
      <c r="V915" s="21"/>
      <c r="W915" s="21"/>
      <c r="X915" s="18">
        <v>12.0</v>
      </c>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c r="BE915" s="21"/>
      <c r="BF915" s="21"/>
      <c r="BG915" s="21"/>
      <c r="BH915" s="21"/>
      <c r="BI915" s="21"/>
      <c r="BJ915" s="21"/>
      <c r="BK915" s="10"/>
    </row>
    <row r="916">
      <c r="A916" s="22"/>
      <c r="B916" s="22"/>
      <c r="C916" s="22"/>
      <c r="D916" s="22"/>
      <c r="E916" s="18">
        <v>13.0</v>
      </c>
      <c r="F916" s="22"/>
      <c r="G916" s="22"/>
      <c r="H916" s="22"/>
      <c r="I916" s="22"/>
      <c r="J916" s="22"/>
      <c r="K916" s="22"/>
      <c r="L916" s="22"/>
      <c r="M916" s="22"/>
      <c r="N916" s="22"/>
      <c r="O916" s="22"/>
      <c r="P916" s="22"/>
      <c r="Q916" s="22"/>
      <c r="R916" s="22"/>
      <c r="S916" s="22"/>
      <c r="T916" s="19">
        <v>1664.0</v>
      </c>
      <c r="U916" s="22"/>
      <c r="V916" s="22"/>
      <c r="W916" s="22"/>
      <c r="X916" s="18">
        <v>13.0</v>
      </c>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10"/>
    </row>
    <row r="917">
      <c r="A917" s="16" t="s">
        <v>361</v>
      </c>
      <c r="B917" s="27" t="s">
        <v>101</v>
      </c>
      <c r="C917" s="16" t="s">
        <v>87</v>
      </c>
      <c r="D917" s="16">
        <v>3.0</v>
      </c>
      <c r="E917" s="18">
        <v>3.0</v>
      </c>
      <c r="F917" s="18">
        <v>120.0</v>
      </c>
      <c r="G917" s="16" t="s">
        <v>85</v>
      </c>
      <c r="H917" s="16" t="s">
        <v>85</v>
      </c>
      <c r="I917" s="16" t="s">
        <v>85</v>
      </c>
      <c r="J917" s="16" t="s">
        <v>85</v>
      </c>
      <c r="K917" s="16" t="s">
        <v>85</v>
      </c>
      <c r="L917" s="16" t="s">
        <v>85</v>
      </c>
      <c r="M917" s="16" t="s">
        <v>85</v>
      </c>
      <c r="N917" s="16" t="s">
        <v>85</v>
      </c>
      <c r="O917" s="16" t="s">
        <v>85</v>
      </c>
      <c r="P917" s="16" t="s">
        <v>85</v>
      </c>
      <c r="Q917" s="19">
        <v>92.0</v>
      </c>
      <c r="R917" s="16" t="s">
        <v>85</v>
      </c>
      <c r="S917" s="16" t="s">
        <v>85</v>
      </c>
      <c r="T917" s="18">
        <v>680.0</v>
      </c>
      <c r="U917" s="16" t="s">
        <v>85</v>
      </c>
      <c r="V917" s="16" t="s">
        <v>85</v>
      </c>
      <c r="W917" s="16" t="s">
        <v>362</v>
      </c>
      <c r="X917" s="18">
        <v>3.0</v>
      </c>
      <c r="Y917" s="16" t="s">
        <v>85</v>
      </c>
      <c r="Z917" s="16" t="s">
        <v>85</v>
      </c>
      <c r="AA917" s="16" t="s">
        <v>85</v>
      </c>
      <c r="AB917" s="16" t="s">
        <v>85</v>
      </c>
      <c r="AC917" s="16" t="s">
        <v>85</v>
      </c>
      <c r="AD917" s="16" t="s">
        <v>85</v>
      </c>
      <c r="AE917" s="16" t="s">
        <v>187</v>
      </c>
      <c r="AF917" s="16" t="s">
        <v>109</v>
      </c>
      <c r="AG917" s="16" t="s">
        <v>110</v>
      </c>
      <c r="AH917" s="16" t="s">
        <v>85</v>
      </c>
      <c r="AI917" s="16" t="s">
        <v>104</v>
      </c>
      <c r="AJ917" s="16" t="s">
        <v>85</v>
      </c>
      <c r="AK917" s="16" t="s">
        <v>85</v>
      </c>
      <c r="AL917" s="16" t="s">
        <v>85</v>
      </c>
      <c r="AM917" s="16" t="s">
        <v>85</v>
      </c>
      <c r="AN917" s="16" t="s">
        <v>85</v>
      </c>
      <c r="AO917" s="16" t="s">
        <v>363</v>
      </c>
      <c r="AP917" s="18">
        <v>3.0</v>
      </c>
      <c r="AQ917" s="16" t="s">
        <v>85</v>
      </c>
      <c r="AR917" s="16" t="s">
        <v>85</v>
      </c>
      <c r="AS917" s="16" t="s">
        <v>85</v>
      </c>
      <c r="AT917" s="16" t="s">
        <v>85</v>
      </c>
      <c r="AU917" s="16" t="s">
        <v>85</v>
      </c>
      <c r="AV917" s="16" t="s">
        <v>85</v>
      </c>
      <c r="AW917" s="16" t="s">
        <v>85</v>
      </c>
      <c r="AX917" s="16" t="s">
        <v>85</v>
      </c>
      <c r="AY917" s="16" t="s">
        <v>85</v>
      </c>
      <c r="AZ917" s="16" t="s">
        <v>85</v>
      </c>
      <c r="BA917" s="16" t="s">
        <v>85</v>
      </c>
      <c r="BB917" s="16" t="s">
        <v>85</v>
      </c>
      <c r="BC917" s="16" t="s">
        <v>85</v>
      </c>
      <c r="BD917" s="16" t="s">
        <v>85</v>
      </c>
      <c r="BE917" s="16" t="s">
        <v>85</v>
      </c>
      <c r="BF917" s="16" t="s">
        <v>85</v>
      </c>
      <c r="BG917" s="16" t="s">
        <v>85</v>
      </c>
      <c r="BH917" s="16" t="s">
        <v>85</v>
      </c>
      <c r="BI917" s="16" t="s">
        <v>85</v>
      </c>
      <c r="BJ917" s="16" t="s">
        <v>85</v>
      </c>
      <c r="BK917" s="10"/>
    </row>
    <row r="918">
      <c r="A918" s="21"/>
      <c r="B918" s="21"/>
      <c r="C918" s="21"/>
      <c r="D918" s="21"/>
      <c r="E918" s="18">
        <v>4.0</v>
      </c>
      <c r="F918" s="19">
        <v>132.0</v>
      </c>
      <c r="G918" s="21"/>
      <c r="H918" s="21"/>
      <c r="I918" s="21"/>
      <c r="J918" s="21"/>
      <c r="K918" s="21"/>
      <c r="L918" s="21"/>
      <c r="M918" s="21"/>
      <c r="N918" s="21"/>
      <c r="O918" s="21"/>
      <c r="P918" s="21"/>
      <c r="Q918" s="19">
        <v>101.0</v>
      </c>
      <c r="R918" s="21"/>
      <c r="S918" s="21"/>
      <c r="T918" s="19">
        <v>748.0</v>
      </c>
      <c r="U918" s="21"/>
      <c r="V918" s="21"/>
      <c r="W918" s="21"/>
      <c r="X918" s="18">
        <v>4.0</v>
      </c>
      <c r="Y918" s="21"/>
      <c r="Z918" s="21"/>
      <c r="AA918" s="21"/>
      <c r="AB918" s="21"/>
      <c r="AC918" s="21"/>
      <c r="AD918" s="21"/>
      <c r="AE918" s="21"/>
      <c r="AF918" s="21"/>
      <c r="AG918" s="21"/>
      <c r="AH918" s="21"/>
      <c r="AI918" s="21"/>
      <c r="AJ918" s="21"/>
      <c r="AK918" s="21"/>
      <c r="AL918" s="21"/>
      <c r="AM918" s="21"/>
      <c r="AN918" s="21"/>
      <c r="AO918" s="21"/>
      <c r="AP918" s="18">
        <v>4.0</v>
      </c>
      <c r="AQ918" s="21"/>
      <c r="AR918" s="21"/>
      <c r="AS918" s="21"/>
      <c r="AT918" s="21"/>
      <c r="AU918" s="21"/>
      <c r="AV918" s="21"/>
      <c r="AW918" s="21"/>
      <c r="AX918" s="21"/>
      <c r="AY918" s="21"/>
      <c r="AZ918" s="21"/>
      <c r="BA918" s="21"/>
      <c r="BB918" s="21"/>
      <c r="BC918" s="21"/>
      <c r="BD918" s="21"/>
      <c r="BE918" s="21"/>
      <c r="BF918" s="21"/>
      <c r="BG918" s="21"/>
      <c r="BH918" s="21"/>
      <c r="BI918" s="21"/>
      <c r="BJ918" s="21"/>
      <c r="BK918" s="10"/>
    </row>
    <row r="919">
      <c r="A919" s="21"/>
      <c r="B919" s="21"/>
      <c r="C919" s="21"/>
      <c r="D919" s="21"/>
      <c r="E919" s="18">
        <v>5.0</v>
      </c>
      <c r="F919" s="19">
        <v>145.0</v>
      </c>
      <c r="G919" s="21"/>
      <c r="H919" s="21"/>
      <c r="I919" s="21"/>
      <c r="J919" s="21"/>
      <c r="K919" s="21"/>
      <c r="L919" s="21"/>
      <c r="M919" s="21"/>
      <c r="N919" s="21"/>
      <c r="O919" s="21"/>
      <c r="P919" s="21"/>
      <c r="Q919" s="19">
        <v>111.0</v>
      </c>
      <c r="R919" s="21"/>
      <c r="S919" s="21"/>
      <c r="T919" s="19">
        <v>822.0</v>
      </c>
      <c r="U919" s="21"/>
      <c r="V919" s="21"/>
      <c r="W919" s="21"/>
      <c r="X919" s="18">
        <v>5.0</v>
      </c>
      <c r="Y919" s="21"/>
      <c r="Z919" s="21"/>
      <c r="AA919" s="21"/>
      <c r="AB919" s="21"/>
      <c r="AC919" s="21"/>
      <c r="AD919" s="21"/>
      <c r="AE919" s="21"/>
      <c r="AF919" s="21"/>
      <c r="AG919" s="21"/>
      <c r="AH919" s="21"/>
      <c r="AI919" s="21"/>
      <c r="AJ919" s="21"/>
      <c r="AK919" s="21"/>
      <c r="AL919" s="21"/>
      <c r="AM919" s="21"/>
      <c r="AN919" s="21"/>
      <c r="AO919" s="21"/>
      <c r="AP919" s="18">
        <v>5.0</v>
      </c>
      <c r="AQ919" s="21"/>
      <c r="AR919" s="21"/>
      <c r="AS919" s="21"/>
      <c r="AT919" s="21"/>
      <c r="AU919" s="21"/>
      <c r="AV919" s="21"/>
      <c r="AW919" s="21"/>
      <c r="AX919" s="21"/>
      <c r="AY919" s="21"/>
      <c r="AZ919" s="21"/>
      <c r="BA919" s="21"/>
      <c r="BB919" s="21"/>
      <c r="BC919" s="21"/>
      <c r="BD919" s="21"/>
      <c r="BE919" s="21"/>
      <c r="BF919" s="21"/>
      <c r="BG919" s="21"/>
      <c r="BH919" s="21"/>
      <c r="BI919" s="21"/>
      <c r="BJ919" s="21"/>
      <c r="BK919" s="10"/>
    </row>
    <row r="920">
      <c r="A920" s="21"/>
      <c r="B920" s="21"/>
      <c r="C920" s="21"/>
      <c r="D920" s="21"/>
      <c r="E920" s="18">
        <v>6.0</v>
      </c>
      <c r="F920" s="19">
        <v>159.0</v>
      </c>
      <c r="G920" s="21"/>
      <c r="H920" s="21"/>
      <c r="I920" s="21"/>
      <c r="J920" s="21"/>
      <c r="K920" s="21"/>
      <c r="L920" s="21"/>
      <c r="M920" s="21"/>
      <c r="N920" s="21"/>
      <c r="O920" s="21"/>
      <c r="P920" s="21"/>
      <c r="Q920" s="19">
        <v>122.0</v>
      </c>
      <c r="R920" s="21"/>
      <c r="S920" s="21"/>
      <c r="T920" s="19">
        <v>904.0</v>
      </c>
      <c r="U920" s="21"/>
      <c r="V920" s="21"/>
      <c r="W920" s="21"/>
      <c r="X920" s="18">
        <v>6.0</v>
      </c>
      <c r="Y920" s="21"/>
      <c r="Z920" s="21"/>
      <c r="AA920" s="21"/>
      <c r="AB920" s="21"/>
      <c r="AC920" s="21"/>
      <c r="AD920" s="21"/>
      <c r="AE920" s="21"/>
      <c r="AF920" s="21"/>
      <c r="AG920" s="21"/>
      <c r="AH920" s="21"/>
      <c r="AI920" s="21"/>
      <c r="AJ920" s="21"/>
      <c r="AK920" s="21"/>
      <c r="AL920" s="21"/>
      <c r="AM920" s="21"/>
      <c r="AN920" s="21"/>
      <c r="AO920" s="21"/>
      <c r="AP920" s="18">
        <v>6.0</v>
      </c>
      <c r="AQ920" s="21"/>
      <c r="AR920" s="21"/>
      <c r="AS920" s="21"/>
      <c r="AT920" s="21"/>
      <c r="AU920" s="21"/>
      <c r="AV920" s="21"/>
      <c r="AW920" s="21"/>
      <c r="AX920" s="21"/>
      <c r="AY920" s="21"/>
      <c r="AZ920" s="21"/>
      <c r="BA920" s="21"/>
      <c r="BB920" s="21"/>
      <c r="BC920" s="21"/>
      <c r="BD920" s="21"/>
      <c r="BE920" s="21"/>
      <c r="BF920" s="21"/>
      <c r="BG920" s="21"/>
      <c r="BH920" s="21"/>
      <c r="BI920" s="21"/>
      <c r="BJ920" s="21"/>
      <c r="BK920" s="10"/>
    </row>
    <row r="921">
      <c r="A921" s="21"/>
      <c r="B921" s="21"/>
      <c r="C921" s="21"/>
      <c r="D921" s="21"/>
      <c r="E921" s="18">
        <v>7.0</v>
      </c>
      <c r="F921" s="19">
        <v>175.0</v>
      </c>
      <c r="G921" s="21"/>
      <c r="H921" s="21"/>
      <c r="I921" s="21"/>
      <c r="J921" s="21"/>
      <c r="K921" s="21"/>
      <c r="L921" s="21"/>
      <c r="M921" s="21"/>
      <c r="N921" s="21"/>
      <c r="O921" s="21"/>
      <c r="P921" s="21"/>
      <c r="Q921" s="19">
        <v>134.0</v>
      </c>
      <c r="R921" s="21"/>
      <c r="S921" s="21"/>
      <c r="T921" s="19">
        <v>992.0</v>
      </c>
      <c r="U921" s="21"/>
      <c r="V921" s="21"/>
      <c r="W921" s="21"/>
      <c r="X921" s="18">
        <v>7.0</v>
      </c>
      <c r="Y921" s="21"/>
      <c r="Z921" s="21"/>
      <c r="AA921" s="21"/>
      <c r="AB921" s="21"/>
      <c r="AC921" s="21"/>
      <c r="AD921" s="21"/>
      <c r="AE921" s="21"/>
      <c r="AF921" s="21"/>
      <c r="AG921" s="21"/>
      <c r="AH921" s="21"/>
      <c r="AI921" s="21"/>
      <c r="AJ921" s="21"/>
      <c r="AK921" s="21"/>
      <c r="AL921" s="21"/>
      <c r="AM921" s="21"/>
      <c r="AN921" s="21"/>
      <c r="AO921" s="21"/>
      <c r="AP921" s="18">
        <v>7.0</v>
      </c>
      <c r="AQ921" s="21"/>
      <c r="AR921" s="21"/>
      <c r="AS921" s="21"/>
      <c r="AT921" s="21"/>
      <c r="AU921" s="21"/>
      <c r="AV921" s="21"/>
      <c r="AW921" s="21"/>
      <c r="AX921" s="21"/>
      <c r="AY921" s="21"/>
      <c r="AZ921" s="21"/>
      <c r="BA921" s="21"/>
      <c r="BB921" s="21"/>
      <c r="BC921" s="21"/>
      <c r="BD921" s="21"/>
      <c r="BE921" s="21"/>
      <c r="BF921" s="21"/>
      <c r="BG921" s="21"/>
      <c r="BH921" s="21"/>
      <c r="BI921" s="21"/>
      <c r="BJ921" s="21"/>
      <c r="BK921" s="10"/>
    </row>
    <row r="922">
      <c r="A922" s="21"/>
      <c r="B922" s="21"/>
      <c r="C922" s="21"/>
      <c r="D922" s="21"/>
      <c r="E922" s="18">
        <v>8.0</v>
      </c>
      <c r="F922" s="19">
        <v>192.0</v>
      </c>
      <c r="G922" s="21"/>
      <c r="H922" s="21"/>
      <c r="I922" s="21"/>
      <c r="J922" s="21"/>
      <c r="K922" s="21"/>
      <c r="L922" s="21"/>
      <c r="M922" s="21"/>
      <c r="N922" s="21"/>
      <c r="O922" s="21"/>
      <c r="P922" s="21"/>
      <c r="Q922" s="19">
        <v>147.0</v>
      </c>
      <c r="R922" s="21"/>
      <c r="S922" s="21"/>
      <c r="T922" s="19">
        <v>1088.0</v>
      </c>
      <c r="U922" s="21"/>
      <c r="V922" s="21"/>
      <c r="W922" s="21"/>
      <c r="X922" s="18">
        <v>8.0</v>
      </c>
      <c r="Y922" s="21"/>
      <c r="Z922" s="21"/>
      <c r="AA922" s="21"/>
      <c r="AB922" s="21"/>
      <c r="AC922" s="21"/>
      <c r="AD922" s="21"/>
      <c r="AE922" s="21"/>
      <c r="AF922" s="21"/>
      <c r="AG922" s="21"/>
      <c r="AH922" s="21"/>
      <c r="AI922" s="21"/>
      <c r="AJ922" s="21"/>
      <c r="AK922" s="21"/>
      <c r="AL922" s="21"/>
      <c r="AM922" s="21"/>
      <c r="AN922" s="21"/>
      <c r="AO922" s="21"/>
      <c r="AP922" s="18">
        <v>8.0</v>
      </c>
      <c r="AQ922" s="21"/>
      <c r="AR922" s="21"/>
      <c r="AS922" s="21"/>
      <c r="AT922" s="21"/>
      <c r="AU922" s="21"/>
      <c r="AV922" s="21"/>
      <c r="AW922" s="21"/>
      <c r="AX922" s="21"/>
      <c r="AY922" s="21"/>
      <c r="AZ922" s="21"/>
      <c r="BA922" s="21"/>
      <c r="BB922" s="21"/>
      <c r="BC922" s="21"/>
      <c r="BD922" s="21"/>
      <c r="BE922" s="21"/>
      <c r="BF922" s="21"/>
      <c r="BG922" s="21"/>
      <c r="BH922" s="21"/>
      <c r="BI922" s="21"/>
      <c r="BJ922" s="21"/>
      <c r="BK922" s="10"/>
    </row>
    <row r="923">
      <c r="A923" s="21"/>
      <c r="B923" s="21"/>
      <c r="C923" s="21"/>
      <c r="D923" s="21"/>
      <c r="E923" s="18">
        <v>9.0</v>
      </c>
      <c r="F923" s="19">
        <v>211.0</v>
      </c>
      <c r="G923" s="21"/>
      <c r="H923" s="21"/>
      <c r="I923" s="21"/>
      <c r="J923" s="21"/>
      <c r="K923" s="21"/>
      <c r="L923" s="21"/>
      <c r="M923" s="21"/>
      <c r="N923" s="21"/>
      <c r="O923" s="21"/>
      <c r="P923" s="21"/>
      <c r="Q923" s="19">
        <v>162.0</v>
      </c>
      <c r="R923" s="21"/>
      <c r="S923" s="21"/>
      <c r="T923" s="19">
        <v>1196.0</v>
      </c>
      <c r="U923" s="21"/>
      <c r="V923" s="21"/>
      <c r="W923" s="21"/>
      <c r="X923" s="18">
        <v>9.0</v>
      </c>
      <c r="Y923" s="21"/>
      <c r="Z923" s="21"/>
      <c r="AA923" s="21"/>
      <c r="AB923" s="21"/>
      <c r="AC923" s="21"/>
      <c r="AD923" s="21"/>
      <c r="AE923" s="21"/>
      <c r="AF923" s="21"/>
      <c r="AG923" s="21"/>
      <c r="AH923" s="21"/>
      <c r="AI923" s="21"/>
      <c r="AJ923" s="21"/>
      <c r="AK923" s="21"/>
      <c r="AL923" s="21"/>
      <c r="AM923" s="21"/>
      <c r="AN923" s="21"/>
      <c r="AO923" s="21"/>
      <c r="AP923" s="18">
        <v>9.0</v>
      </c>
      <c r="AQ923" s="21"/>
      <c r="AR923" s="21"/>
      <c r="AS923" s="21"/>
      <c r="AT923" s="21"/>
      <c r="AU923" s="21"/>
      <c r="AV923" s="21"/>
      <c r="AW923" s="21"/>
      <c r="AX923" s="21"/>
      <c r="AY923" s="21"/>
      <c r="AZ923" s="21"/>
      <c r="BA923" s="21"/>
      <c r="BB923" s="21"/>
      <c r="BC923" s="21"/>
      <c r="BD923" s="21"/>
      <c r="BE923" s="21"/>
      <c r="BF923" s="21"/>
      <c r="BG923" s="21"/>
      <c r="BH923" s="21"/>
      <c r="BI923" s="21"/>
      <c r="BJ923" s="21"/>
      <c r="BK923" s="10"/>
    </row>
    <row r="924">
      <c r="A924" s="21"/>
      <c r="B924" s="21"/>
      <c r="C924" s="21"/>
      <c r="D924" s="21"/>
      <c r="E924" s="18">
        <v>10.0</v>
      </c>
      <c r="F924" s="19">
        <v>231.0</v>
      </c>
      <c r="G924" s="21"/>
      <c r="H924" s="21"/>
      <c r="I924" s="21"/>
      <c r="J924" s="21"/>
      <c r="K924" s="21"/>
      <c r="L924" s="21"/>
      <c r="M924" s="21"/>
      <c r="N924" s="21"/>
      <c r="O924" s="21"/>
      <c r="P924" s="21"/>
      <c r="Q924" s="19">
        <v>177.0</v>
      </c>
      <c r="R924" s="21"/>
      <c r="S924" s="21"/>
      <c r="T924" s="19">
        <v>1312.0</v>
      </c>
      <c r="U924" s="21"/>
      <c r="V924" s="21"/>
      <c r="W924" s="21"/>
      <c r="X924" s="18">
        <v>10.0</v>
      </c>
      <c r="Y924" s="21"/>
      <c r="Z924" s="21"/>
      <c r="AA924" s="21"/>
      <c r="AB924" s="21"/>
      <c r="AC924" s="21"/>
      <c r="AD924" s="21"/>
      <c r="AE924" s="21"/>
      <c r="AF924" s="21"/>
      <c r="AG924" s="21"/>
      <c r="AH924" s="21"/>
      <c r="AI924" s="21"/>
      <c r="AJ924" s="21"/>
      <c r="AK924" s="21"/>
      <c r="AL924" s="21"/>
      <c r="AM924" s="21"/>
      <c r="AN924" s="21"/>
      <c r="AO924" s="21"/>
      <c r="AP924" s="18">
        <v>10.0</v>
      </c>
      <c r="AQ924" s="21"/>
      <c r="AR924" s="21"/>
      <c r="AS924" s="21"/>
      <c r="AT924" s="21"/>
      <c r="AU924" s="21"/>
      <c r="AV924" s="21"/>
      <c r="AW924" s="21"/>
      <c r="AX924" s="21"/>
      <c r="AY924" s="21"/>
      <c r="AZ924" s="21"/>
      <c r="BA924" s="21"/>
      <c r="BB924" s="21"/>
      <c r="BC924" s="21"/>
      <c r="BD924" s="21"/>
      <c r="BE924" s="21"/>
      <c r="BF924" s="21"/>
      <c r="BG924" s="21"/>
      <c r="BH924" s="21"/>
      <c r="BI924" s="21"/>
      <c r="BJ924" s="21"/>
      <c r="BK924" s="10"/>
    </row>
    <row r="925">
      <c r="A925" s="21"/>
      <c r="B925" s="21"/>
      <c r="C925" s="21"/>
      <c r="D925" s="21"/>
      <c r="E925" s="18">
        <v>11.0</v>
      </c>
      <c r="F925" s="19">
        <v>254.0</v>
      </c>
      <c r="G925" s="21"/>
      <c r="H925" s="21"/>
      <c r="I925" s="21"/>
      <c r="J925" s="21"/>
      <c r="K925" s="21"/>
      <c r="L925" s="21"/>
      <c r="M925" s="21"/>
      <c r="N925" s="21"/>
      <c r="O925" s="21"/>
      <c r="P925" s="21"/>
      <c r="Q925" s="19">
        <v>195.0</v>
      </c>
      <c r="R925" s="21"/>
      <c r="S925" s="21"/>
      <c r="T925" s="19">
        <v>1441.0</v>
      </c>
      <c r="U925" s="21"/>
      <c r="V925" s="21"/>
      <c r="W925" s="21"/>
      <c r="X925" s="18">
        <v>11.0</v>
      </c>
      <c r="Y925" s="21"/>
      <c r="Z925" s="21"/>
      <c r="AA925" s="21"/>
      <c r="AB925" s="21"/>
      <c r="AC925" s="21"/>
      <c r="AD925" s="21"/>
      <c r="AE925" s="21"/>
      <c r="AF925" s="21"/>
      <c r="AG925" s="21"/>
      <c r="AH925" s="21"/>
      <c r="AI925" s="21"/>
      <c r="AJ925" s="21"/>
      <c r="AK925" s="21"/>
      <c r="AL925" s="21"/>
      <c r="AM925" s="21"/>
      <c r="AN925" s="21"/>
      <c r="AO925" s="21"/>
      <c r="AP925" s="18">
        <v>11.0</v>
      </c>
      <c r="AQ925" s="21"/>
      <c r="AR925" s="21"/>
      <c r="AS925" s="21"/>
      <c r="AT925" s="21"/>
      <c r="AU925" s="21"/>
      <c r="AV925" s="21"/>
      <c r="AW925" s="21"/>
      <c r="AX925" s="21"/>
      <c r="AY925" s="21"/>
      <c r="AZ925" s="21"/>
      <c r="BA925" s="21"/>
      <c r="BB925" s="21"/>
      <c r="BC925" s="21"/>
      <c r="BD925" s="21"/>
      <c r="BE925" s="21"/>
      <c r="BF925" s="21"/>
      <c r="BG925" s="21"/>
      <c r="BH925" s="21"/>
      <c r="BI925" s="21"/>
      <c r="BJ925" s="21"/>
      <c r="BK925" s="10"/>
    </row>
    <row r="926">
      <c r="A926" s="21"/>
      <c r="B926" s="21"/>
      <c r="C926" s="21"/>
      <c r="D926" s="21"/>
      <c r="E926" s="18">
        <v>12.0</v>
      </c>
      <c r="F926" s="19">
        <v>279.0</v>
      </c>
      <c r="G926" s="21"/>
      <c r="H926" s="21"/>
      <c r="I926" s="21"/>
      <c r="J926" s="21"/>
      <c r="K926" s="21"/>
      <c r="L926" s="21"/>
      <c r="M926" s="21"/>
      <c r="N926" s="21"/>
      <c r="O926" s="21"/>
      <c r="P926" s="21"/>
      <c r="Q926" s="19">
        <v>214.0</v>
      </c>
      <c r="R926" s="21"/>
      <c r="S926" s="21"/>
      <c r="T926" s="19">
        <v>1584.0</v>
      </c>
      <c r="U926" s="21"/>
      <c r="V926" s="21"/>
      <c r="W926" s="21"/>
      <c r="X926" s="18">
        <v>12.0</v>
      </c>
      <c r="Y926" s="21"/>
      <c r="Z926" s="21"/>
      <c r="AA926" s="21"/>
      <c r="AB926" s="21"/>
      <c r="AC926" s="21"/>
      <c r="AD926" s="21"/>
      <c r="AE926" s="21"/>
      <c r="AF926" s="21"/>
      <c r="AG926" s="21"/>
      <c r="AH926" s="21"/>
      <c r="AI926" s="21"/>
      <c r="AJ926" s="21"/>
      <c r="AK926" s="21"/>
      <c r="AL926" s="21"/>
      <c r="AM926" s="21"/>
      <c r="AN926" s="21"/>
      <c r="AO926" s="21"/>
      <c r="AP926" s="18">
        <v>12.0</v>
      </c>
      <c r="AQ926" s="21"/>
      <c r="AR926" s="21"/>
      <c r="AS926" s="21"/>
      <c r="AT926" s="21"/>
      <c r="AU926" s="21"/>
      <c r="AV926" s="21"/>
      <c r="AW926" s="21"/>
      <c r="AX926" s="21"/>
      <c r="AY926" s="21"/>
      <c r="AZ926" s="21"/>
      <c r="BA926" s="21"/>
      <c r="BB926" s="21"/>
      <c r="BC926" s="21"/>
      <c r="BD926" s="21"/>
      <c r="BE926" s="21"/>
      <c r="BF926" s="21"/>
      <c r="BG926" s="21"/>
      <c r="BH926" s="21"/>
      <c r="BI926" s="21"/>
      <c r="BJ926" s="21"/>
      <c r="BK926" s="10"/>
    </row>
    <row r="927">
      <c r="A927" s="22"/>
      <c r="B927" s="22"/>
      <c r="C927" s="22"/>
      <c r="D927" s="22"/>
      <c r="E927" s="18">
        <v>13.0</v>
      </c>
      <c r="F927" s="19">
        <v>307.0</v>
      </c>
      <c r="G927" s="22"/>
      <c r="H927" s="22"/>
      <c r="I927" s="22"/>
      <c r="J927" s="22"/>
      <c r="K927" s="22"/>
      <c r="L927" s="22"/>
      <c r="M927" s="22"/>
      <c r="N927" s="22"/>
      <c r="O927" s="22"/>
      <c r="P927" s="22"/>
      <c r="Q927" s="19">
        <v>236.0</v>
      </c>
      <c r="R927" s="22"/>
      <c r="S927" s="22"/>
      <c r="T927" s="19">
        <v>1740.0</v>
      </c>
      <c r="U927" s="22"/>
      <c r="V927" s="22"/>
      <c r="W927" s="22"/>
      <c r="X927" s="18">
        <v>13.0</v>
      </c>
      <c r="Y927" s="22"/>
      <c r="Z927" s="22"/>
      <c r="AA927" s="22"/>
      <c r="AB927" s="22"/>
      <c r="AC927" s="22"/>
      <c r="AD927" s="22"/>
      <c r="AE927" s="22"/>
      <c r="AF927" s="22"/>
      <c r="AG927" s="22"/>
      <c r="AH927" s="22"/>
      <c r="AI927" s="22"/>
      <c r="AJ927" s="22"/>
      <c r="AK927" s="22"/>
      <c r="AL927" s="22"/>
      <c r="AM927" s="22"/>
      <c r="AN927" s="22"/>
      <c r="AO927" s="22"/>
      <c r="AP927" s="18">
        <v>13.0</v>
      </c>
      <c r="AQ927" s="22"/>
      <c r="AR927" s="22"/>
      <c r="AS927" s="22"/>
      <c r="AT927" s="22"/>
      <c r="AU927" s="22"/>
      <c r="AV927" s="22"/>
      <c r="AW927" s="22"/>
      <c r="AX927" s="22"/>
      <c r="AY927" s="22"/>
      <c r="AZ927" s="22"/>
      <c r="BA927" s="22"/>
      <c r="BB927" s="22"/>
      <c r="BC927" s="22"/>
      <c r="BD927" s="22"/>
      <c r="BE927" s="22"/>
      <c r="BF927" s="22"/>
      <c r="BG927" s="22"/>
      <c r="BH927" s="22"/>
      <c r="BI927" s="22"/>
      <c r="BJ927" s="22"/>
      <c r="BK927" s="10"/>
    </row>
    <row r="928">
      <c r="A928" s="16" t="s">
        <v>364</v>
      </c>
      <c r="B928" s="30" t="s">
        <v>131</v>
      </c>
      <c r="C928" s="16" t="s">
        <v>84</v>
      </c>
      <c r="D928" s="16">
        <v>2.0</v>
      </c>
      <c r="E928" s="18">
        <v>6.0</v>
      </c>
      <c r="F928" s="16" t="s">
        <v>85</v>
      </c>
      <c r="G928" s="16" t="s">
        <v>85</v>
      </c>
      <c r="H928" s="16" t="s">
        <v>85</v>
      </c>
      <c r="I928" s="16" t="s">
        <v>85</v>
      </c>
      <c r="J928" s="16" t="s">
        <v>85</v>
      </c>
      <c r="K928" s="16" t="s">
        <v>85</v>
      </c>
      <c r="L928" s="16" t="s">
        <v>85</v>
      </c>
      <c r="M928" s="16" t="s">
        <v>85</v>
      </c>
      <c r="N928" s="16" t="s">
        <v>85</v>
      </c>
      <c r="O928" s="16" t="s">
        <v>85</v>
      </c>
      <c r="P928" s="16" t="s">
        <v>85</v>
      </c>
      <c r="Q928" s="16" t="s">
        <v>85</v>
      </c>
      <c r="R928" s="16" t="s">
        <v>85</v>
      </c>
      <c r="S928" s="16" t="s">
        <v>85</v>
      </c>
      <c r="T928" s="16" t="s">
        <v>85</v>
      </c>
      <c r="U928" s="16" t="s">
        <v>85</v>
      </c>
      <c r="V928" s="16" t="s">
        <v>85</v>
      </c>
      <c r="W928" s="16" t="s">
        <v>85</v>
      </c>
      <c r="X928" s="16" t="s">
        <v>85</v>
      </c>
      <c r="Y928" s="16" t="s">
        <v>85</v>
      </c>
      <c r="Z928" s="16" t="s">
        <v>85</v>
      </c>
      <c r="AA928" s="16" t="s">
        <v>85</v>
      </c>
      <c r="AB928" s="16" t="s">
        <v>85</v>
      </c>
      <c r="AC928" s="16" t="s">
        <v>85</v>
      </c>
      <c r="AD928" s="16" t="s">
        <v>85</v>
      </c>
      <c r="AE928" s="16" t="s">
        <v>85</v>
      </c>
      <c r="AF928" s="16" t="s">
        <v>85</v>
      </c>
      <c r="AG928" s="16" t="s">
        <v>85</v>
      </c>
      <c r="AH928" s="16" t="s">
        <v>85</v>
      </c>
      <c r="AI928" s="16" t="s">
        <v>85</v>
      </c>
      <c r="AJ928" s="16" t="s">
        <v>85</v>
      </c>
      <c r="AK928" s="16" t="s">
        <v>85</v>
      </c>
      <c r="AL928" s="16" t="s">
        <v>85</v>
      </c>
      <c r="AM928" s="16" t="s">
        <v>85</v>
      </c>
      <c r="AN928" s="16" t="s">
        <v>85</v>
      </c>
      <c r="AO928" s="16" t="s">
        <v>85</v>
      </c>
      <c r="AP928" s="16" t="s">
        <v>85</v>
      </c>
      <c r="AQ928" s="16" t="s">
        <v>85</v>
      </c>
      <c r="AR928" s="18" t="s">
        <v>365</v>
      </c>
      <c r="AS928" s="16" t="s">
        <v>85</v>
      </c>
      <c r="AT928" s="16" t="s">
        <v>85</v>
      </c>
      <c r="AU928" s="16" t="s">
        <v>85</v>
      </c>
      <c r="AV928" s="16" t="s">
        <v>85</v>
      </c>
      <c r="AW928" s="16" t="s">
        <v>85</v>
      </c>
      <c r="AX928" s="46" t="s">
        <v>366</v>
      </c>
      <c r="AY928" s="16" t="s">
        <v>85</v>
      </c>
      <c r="AZ928" s="16" t="s">
        <v>85</v>
      </c>
      <c r="BA928" s="16" t="s">
        <v>85</v>
      </c>
      <c r="BB928" s="16" t="s">
        <v>85</v>
      </c>
      <c r="BC928" s="16" t="s">
        <v>85</v>
      </c>
      <c r="BD928" s="16" t="s">
        <v>85</v>
      </c>
      <c r="BE928" s="16" t="s">
        <v>85</v>
      </c>
      <c r="BF928" s="16" t="s">
        <v>85</v>
      </c>
      <c r="BG928" s="16" t="s">
        <v>85</v>
      </c>
      <c r="BH928" s="16" t="s">
        <v>85</v>
      </c>
      <c r="BI928" s="16" t="s">
        <v>85</v>
      </c>
      <c r="BJ928" s="16">
        <v>5.0</v>
      </c>
      <c r="BK928" s="10"/>
    </row>
    <row r="929">
      <c r="A929" s="21"/>
      <c r="B929" s="21"/>
      <c r="C929" s="21"/>
      <c r="D929" s="21"/>
      <c r="E929" s="18">
        <v>7.0</v>
      </c>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18" t="s">
        <v>367</v>
      </c>
      <c r="AS929" s="21"/>
      <c r="AT929" s="21"/>
      <c r="AU929" s="21"/>
      <c r="AV929" s="21"/>
      <c r="AW929" s="21"/>
      <c r="AX929" s="21"/>
      <c r="AY929" s="21"/>
      <c r="AZ929" s="21"/>
      <c r="BA929" s="21"/>
      <c r="BB929" s="21"/>
      <c r="BC929" s="21"/>
      <c r="BD929" s="21"/>
      <c r="BE929" s="21"/>
      <c r="BF929" s="21"/>
      <c r="BG929" s="21"/>
      <c r="BH929" s="21"/>
      <c r="BI929" s="21"/>
      <c r="BJ929" s="21"/>
      <c r="BK929" s="10"/>
    </row>
    <row r="930">
      <c r="A930" s="21"/>
      <c r="B930" s="21"/>
      <c r="C930" s="21"/>
      <c r="D930" s="21"/>
      <c r="E930" s="18">
        <v>8.0</v>
      </c>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18" t="s">
        <v>191</v>
      </c>
      <c r="AS930" s="21"/>
      <c r="AT930" s="21"/>
      <c r="AU930" s="21"/>
      <c r="AV930" s="21"/>
      <c r="AW930" s="21"/>
      <c r="AX930" s="21"/>
      <c r="AY930" s="21"/>
      <c r="AZ930" s="21"/>
      <c r="BA930" s="21"/>
      <c r="BB930" s="21"/>
      <c r="BC930" s="21"/>
      <c r="BD930" s="21"/>
      <c r="BE930" s="21"/>
      <c r="BF930" s="21"/>
      <c r="BG930" s="21"/>
      <c r="BH930" s="21"/>
      <c r="BI930" s="21"/>
      <c r="BJ930" s="21"/>
      <c r="BK930" s="10"/>
    </row>
    <row r="931">
      <c r="A931" s="21"/>
      <c r="B931" s="21"/>
      <c r="C931" s="21"/>
      <c r="D931" s="21"/>
      <c r="E931" s="18">
        <v>9.0</v>
      </c>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18" t="s">
        <v>368</v>
      </c>
      <c r="AS931" s="21"/>
      <c r="AT931" s="21"/>
      <c r="AU931" s="21"/>
      <c r="AV931" s="21"/>
      <c r="AW931" s="21"/>
      <c r="AX931" s="21"/>
      <c r="AY931" s="21"/>
      <c r="AZ931" s="21"/>
      <c r="BA931" s="21"/>
      <c r="BB931" s="21"/>
      <c r="BC931" s="21"/>
      <c r="BD931" s="21"/>
      <c r="BE931" s="21"/>
      <c r="BF931" s="21"/>
      <c r="BG931" s="21"/>
      <c r="BH931" s="21"/>
      <c r="BI931" s="21"/>
      <c r="BJ931" s="21"/>
      <c r="BK931" s="10"/>
    </row>
    <row r="932">
      <c r="A932" s="21"/>
      <c r="B932" s="21"/>
      <c r="C932" s="21"/>
      <c r="D932" s="21"/>
      <c r="E932" s="18">
        <v>10.0</v>
      </c>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18" t="s">
        <v>235</v>
      </c>
      <c r="AS932" s="21"/>
      <c r="AT932" s="21"/>
      <c r="AU932" s="21"/>
      <c r="AV932" s="21"/>
      <c r="AW932" s="21"/>
      <c r="AX932" s="21"/>
      <c r="AY932" s="21"/>
      <c r="AZ932" s="21"/>
      <c r="BA932" s="21"/>
      <c r="BB932" s="21"/>
      <c r="BC932" s="21"/>
      <c r="BD932" s="21"/>
      <c r="BE932" s="21"/>
      <c r="BF932" s="21"/>
      <c r="BG932" s="21"/>
      <c r="BH932" s="21"/>
      <c r="BI932" s="21"/>
      <c r="BJ932" s="21"/>
      <c r="BK932" s="10"/>
    </row>
    <row r="933">
      <c r="A933" s="21"/>
      <c r="B933" s="21"/>
      <c r="C933" s="21"/>
      <c r="D933" s="21"/>
      <c r="E933" s="18">
        <v>11.0</v>
      </c>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18" t="s">
        <v>321</v>
      </c>
      <c r="AS933" s="21"/>
      <c r="AT933" s="21"/>
      <c r="AU933" s="21"/>
      <c r="AV933" s="21"/>
      <c r="AW933" s="21"/>
      <c r="AX933" s="21"/>
      <c r="AY933" s="21"/>
      <c r="AZ933" s="21"/>
      <c r="BA933" s="21"/>
      <c r="BB933" s="21"/>
      <c r="BC933" s="21"/>
      <c r="BD933" s="21"/>
      <c r="BE933" s="21"/>
      <c r="BF933" s="21"/>
      <c r="BG933" s="21"/>
      <c r="BH933" s="21"/>
      <c r="BI933" s="21"/>
      <c r="BJ933" s="21"/>
      <c r="BK933" s="10"/>
    </row>
    <row r="934">
      <c r="A934" s="21"/>
      <c r="B934" s="21"/>
      <c r="C934" s="21"/>
      <c r="D934" s="21"/>
      <c r="E934" s="18">
        <v>12.0</v>
      </c>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18" t="s">
        <v>325</v>
      </c>
      <c r="AS934" s="21"/>
      <c r="AT934" s="21"/>
      <c r="AU934" s="21"/>
      <c r="AV934" s="21"/>
      <c r="AW934" s="21"/>
      <c r="AX934" s="21"/>
      <c r="AY934" s="21"/>
      <c r="AZ934" s="21"/>
      <c r="BA934" s="21"/>
      <c r="BB934" s="21"/>
      <c r="BC934" s="21"/>
      <c r="BD934" s="21"/>
      <c r="BE934" s="21"/>
      <c r="BF934" s="21"/>
      <c r="BG934" s="21"/>
      <c r="BH934" s="21"/>
      <c r="BI934" s="21"/>
      <c r="BJ934" s="21"/>
      <c r="BK934" s="10"/>
    </row>
    <row r="935">
      <c r="A935" s="22"/>
      <c r="B935" s="22"/>
      <c r="C935" s="22"/>
      <c r="D935" s="22"/>
      <c r="E935" s="18">
        <v>13.0</v>
      </c>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18" t="s">
        <v>369</v>
      </c>
      <c r="AS935" s="22"/>
      <c r="AT935" s="22"/>
      <c r="AU935" s="22"/>
      <c r="AV935" s="22"/>
      <c r="AW935" s="22"/>
      <c r="AX935" s="22"/>
      <c r="AY935" s="22"/>
      <c r="AZ935" s="22"/>
      <c r="BA935" s="22"/>
      <c r="BB935" s="22"/>
      <c r="BC935" s="22"/>
      <c r="BD935" s="22"/>
      <c r="BE935" s="22"/>
      <c r="BF935" s="22"/>
      <c r="BG935" s="22"/>
      <c r="BH935" s="22"/>
      <c r="BI935" s="22"/>
      <c r="BJ935" s="22"/>
      <c r="BK935" s="10"/>
    </row>
    <row r="936">
      <c r="A936" s="16" t="s">
        <v>370</v>
      </c>
      <c r="B936" s="30" t="s">
        <v>131</v>
      </c>
      <c r="C936" s="16" t="s">
        <v>87</v>
      </c>
      <c r="D936" s="16">
        <v>5.0</v>
      </c>
      <c r="E936" s="18">
        <v>6.0</v>
      </c>
      <c r="F936" s="16" t="s">
        <v>85</v>
      </c>
      <c r="G936" s="18" t="s">
        <v>371</v>
      </c>
      <c r="H936" s="16" t="s">
        <v>85</v>
      </c>
      <c r="I936" s="16" t="s">
        <v>85</v>
      </c>
      <c r="J936" s="16" t="s">
        <v>85</v>
      </c>
      <c r="K936" s="16" t="s">
        <v>85</v>
      </c>
      <c r="L936" s="16" t="s">
        <v>85</v>
      </c>
      <c r="M936" s="16" t="s">
        <v>85</v>
      </c>
      <c r="N936" s="16" t="s">
        <v>85</v>
      </c>
      <c r="O936" s="16" t="s">
        <v>85</v>
      </c>
      <c r="P936" s="16" t="s">
        <v>85</v>
      </c>
      <c r="Q936" s="18" t="s">
        <v>372</v>
      </c>
      <c r="R936" s="16" t="s">
        <v>85</v>
      </c>
      <c r="S936" s="16" t="s">
        <v>85</v>
      </c>
      <c r="T936" s="18">
        <v>760.0</v>
      </c>
      <c r="U936" s="16" t="s">
        <v>85</v>
      </c>
      <c r="V936" s="16" t="s">
        <v>85</v>
      </c>
      <c r="W936" s="16" t="s">
        <v>85</v>
      </c>
      <c r="X936" s="16" t="s">
        <v>85</v>
      </c>
      <c r="Y936" s="16" t="s">
        <v>85</v>
      </c>
      <c r="Z936" s="16" t="s">
        <v>85</v>
      </c>
      <c r="AA936" s="16" t="s">
        <v>85</v>
      </c>
      <c r="AB936" s="16" t="s">
        <v>85</v>
      </c>
      <c r="AC936" s="16" t="s">
        <v>85</v>
      </c>
      <c r="AD936" s="16" t="s">
        <v>85</v>
      </c>
      <c r="AE936" s="16" t="s">
        <v>373</v>
      </c>
      <c r="AF936" s="16" t="s">
        <v>89</v>
      </c>
      <c r="AG936" s="16" t="s">
        <v>95</v>
      </c>
      <c r="AH936" s="16" t="s">
        <v>85</v>
      </c>
      <c r="AI936" s="16">
        <v>4.5</v>
      </c>
      <c r="AJ936" s="16">
        <v>6.5</v>
      </c>
      <c r="AK936" s="16" t="s">
        <v>85</v>
      </c>
      <c r="AL936" s="16" t="s">
        <v>85</v>
      </c>
      <c r="AM936" s="16" t="s">
        <v>85</v>
      </c>
      <c r="AN936" s="16" t="s">
        <v>85</v>
      </c>
      <c r="AO936" s="16" t="s">
        <v>85</v>
      </c>
      <c r="AP936" s="16" t="s">
        <v>85</v>
      </c>
      <c r="AQ936" s="16" t="s">
        <v>85</v>
      </c>
      <c r="AR936" s="16" t="s">
        <v>85</v>
      </c>
      <c r="AS936" s="16" t="s">
        <v>85</v>
      </c>
      <c r="AT936" s="16" t="s">
        <v>85</v>
      </c>
      <c r="AU936" s="16" t="s">
        <v>85</v>
      </c>
      <c r="AV936" s="16" t="s">
        <v>85</v>
      </c>
      <c r="AW936" s="16" t="s">
        <v>85</v>
      </c>
      <c r="AX936" s="16" t="s">
        <v>85</v>
      </c>
      <c r="AY936" s="16" t="s">
        <v>85</v>
      </c>
      <c r="AZ936" s="16" t="s">
        <v>85</v>
      </c>
      <c r="BA936" s="16" t="s">
        <v>85</v>
      </c>
      <c r="BB936" s="16" t="s">
        <v>85</v>
      </c>
      <c r="BC936" s="16" t="s">
        <v>85</v>
      </c>
      <c r="BD936" s="16" t="s">
        <v>85</v>
      </c>
      <c r="BE936" s="16" t="s">
        <v>85</v>
      </c>
      <c r="BF936" s="16" t="s">
        <v>85</v>
      </c>
      <c r="BG936" s="16" t="s">
        <v>85</v>
      </c>
      <c r="BH936" s="16" t="s">
        <v>85</v>
      </c>
      <c r="BI936" s="16" t="s">
        <v>85</v>
      </c>
      <c r="BJ936" s="16" t="s">
        <v>85</v>
      </c>
      <c r="BK936" s="10"/>
    </row>
    <row r="937">
      <c r="A937" s="21"/>
      <c r="B937" s="21"/>
      <c r="C937" s="21"/>
      <c r="D937" s="21"/>
      <c r="E937" s="18">
        <v>7.0</v>
      </c>
      <c r="F937" s="21"/>
      <c r="G937" s="18" t="s">
        <v>374</v>
      </c>
      <c r="H937" s="21"/>
      <c r="I937" s="21"/>
      <c r="J937" s="21"/>
      <c r="K937" s="21"/>
      <c r="L937" s="21"/>
      <c r="M937" s="21"/>
      <c r="N937" s="21"/>
      <c r="O937" s="21"/>
      <c r="P937" s="21"/>
      <c r="Q937" s="18" t="s">
        <v>375</v>
      </c>
      <c r="R937" s="21"/>
      <c r="S937" s="21"/>
      <c r="T937" s="19">
        <v>836.0</v>
      </c>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c r="BE937" s="21"/>
      <c r="BF937" s="21"/>
      <c r="BG937" s="21"/>
      <c r="BH937" s="21"/>
      <c r="BI937" s="21"/>
      <c r="BJ937" s="21"/>
      <c r="BK937" s="10"/>
    </row>
    <row r="938">
      <c r="A938" s="21"/>
      <c r="B938" s="21"/>
      <c r="C938" s="21"/>
      <c r="D938" s="21"/>
      <c r="E938" s="18">
        <v>8.0</v>
      </c>
      <c r="F938" s="21"/>
      <c r="G938" s="18" t="s">
        <v>376</v>
      </c>
      <c r="H938" s="21"/>
      <c r="I938" s="21"/>
      <c r="J938" s="21"/>
      <c r="K938" s="21"/>
      <c r="L938" s="21"/>
      <c r="M938" s="21"/>
      <c r="N938" s="21"/>
      <c r="O938" s="21"/>
      <c r="P938" s="21"/>
      <c r="Q938" s="18" t="s">
        <v>377</v>
      </c>
      <c r="R938" s="21"/>
      <c r="S938" s="21"/>
      <c r="T938" s="19">
        <v>919.0</v>
      </c>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c r="BA938" s="21"/>
      <c r="BB938" s="21"/>
      <c r="BC938" s="21"/>
      <c r="BD938" s="21"/>
      <c r="BE938" s="21"/>
      <c r="BF938" s="21"/>
      <c r="BG938" s="21"/>
      <c r="BH938" s="21"/>
      <c r="BI938" s="21"/>
      <c r="BJ938" s="21"/>
      <c r="BK938" s="10"/>
    </row>
    <row r="939">
      <c r="A939" s="21"/>
      <c r="B939" s="21"/>
      <c r="C939" s="21"/>
      <c r="D939" s="21"/>
      <c r="E939" s="18">
        <v>9.0</v>
      </c>
      <c r="F939" s="21"/>
      <c r="G939" s="18" t="s">
        <v>378</v>
      </c>
      <c r="H939" s="21"/>
      <c r="I939" s="21"/>
      <c r="J939" s="21"/>
      <c r="K939" s="21"/>
      <c r="L939" s="21"/>
      <c r="M939" s="21"/>
      <c r="N939" s="21"/>
      <c r="O939" s="21"/>
      <c r="P939" s="21"/>
      <c r="Q939" s="18" t="s">
        <v>379</v>
      </c>
      <c r="R939" s="21"/>
      <c r="S939" s="21"/>
      <c r="T939" s="19">
        <v>1010.0</v>
      </c>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c r="BA939" s="21"/>
      <c r="BB939" s="21"/>
      <c r="BC939" s="21"/>
      <c r="BD939" s="21"/>
      <c r="BE939" s="21"/>
      <c r="BF939" s="21"/>
      <c r="BG939" s="21"/>
      <c r="BH939" s="21"/>
      <c r="BI939" s="21"/>
      <c r="BJ939" s="21"/>
      <c r="BK939" s="10"/>
    </row>
    <row r="940">
      <c r="A940" s="21"/>
      <c r="B940" s="21"/>
      <c r="C940" s="21"/>
      <c r="D940" s="21"/>
      <c r="E940" s="18">
        <v>10.0</v>
      </c>
      <c r="F940" s="21"/>
      <c r="G940" s="18" t="s">
        <v>380</v>
      </c>
      <c r="H940" s="21"/>
      <c r="I940" s="21"/>
      <c r="J940" s="21"/>
      <c r="K940" s="21"/>
      <c r="L940" s="21"/>
      <c r="M940" s="21"/>
      <c r="N940" s="21"/>
      <c r="O940" s="21"/>
      <c r="P940" s="21"/>
      <c r="Q940" s="18" t="s">
        <v>381</v>
      </c>
      <c r="R940" s="21"/>
      <c r="S940" s="21"/>
      <c r="T940" s="19">
        <v>1109.0</v>
      </c>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c r="BA940" s="21"/>
      <c r="BB940" s="21"/>
      <c r="BC940" s="21"/>
      <c r="BD940" s="21"/>
      <c r="BE940" s="21"/>
      <c r="BF940" s="21"/>
      <c r="BG940" s="21"/>
      <c r="BH940" s="21"/>
      <c r="BI940" s="21"/>
      <c r="BJ940" s="21"/>
      <c r="BK940" s="10"/>
    </row>
    <row r="941">
      <c r="A941" s="21"/>
      <c r="B941" s="21"/>
      <c r="C941" s="21"/>
      <c r="D941" s="21"/>
      <c r="E941" s="18">
        <v>11.0</v>
      </c>
      <c r="F941" s="21"/>
      <c r="G941" s="18" t="s">
        <v>382</v>
      </c>
      <c r="H941" s="21"/>
      <c r="I941" s="21"/>
      <c r="J941" s="21"/>
      <c r="K941" s="21"/>
      <c r="L941" s="21"/>
      <c r="M941" s="21"/>
      <c r="N941" s="21"/>
      <c r="O941" s="21"/>
      <c r="P941" s="21"/>
      <c r="Q941" s="18" t="s">
        <v>383</v>
      </c>
      <c r="R941" s="21"/>
      <c r="S941" s="21"/>
      <c r="T941" s="19">
        <v>1216.0</v>
      </c>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c r="BA941" s="21"/>
      <c r="BB941" s="21"/>
      <c r="BC941" s="21"/>
      <c r="BD941" s="21"/>
      <c r="BE941" s="21"/>
      <c r="BF941" s="21"/>
      <c r="BG941" s="21"/>
      <c r="BH941" s="21"/>
      <c r="BI941" s="21"/>
      <c r="BJ941" s="21"/>
      <c r="BK941" s="10"/>
    </row>
    <row r="942">
      <c r="A942" s="21"/>
      <c r="B942" s="21"/>
      <c r="C942" s="21"/>
      <c r="D942" s="21"/>
      <c r="E942" s="18">
        <v>12.0</v>
      </c>
      <c r="F942" s="21"/>
      <c r="G942" s="18" t="s">
        <v>384</v>
      </c>
      <c r="H942" s="21"/>
      <c r="I942" s="21"/>
      <c r="J942" s="21"/>
      <c r="K942" s="21"/>
      <c r="L942" s="21"/>
      <c r="M942" s="21"/>
      <c r="N942" s="21"/>
      <c r="O942" s="21"/>
      <c r="P942" s="21"/>
      <c r="Q942" s="18" t="s">
        <v>385</v>
      </c>
      <c r="R942" s="21"/>
      <c r="S942" s="21"/>
      <c r="T942" s="19">
        <v>1337.0</v>
      </c>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c r="BA942" s="21"/>
      <c r="BB942" s="21"/>
      <c r="BC942" s="21"/>
      <c r="BD942" s="21"/>
      <c r="BE942" s="21"/>
      <c r="BF942" s="21"/>
      <c r="BG942" s="21"/>
      <c r="BH942" s="21"/>
      <c r="BI942" s="21"/>
      <c r="BJ942" s="21"/>
      <c r="BK942" s="10"/>
    </row>
    <row r="943">
      <c r="A943" s="22"/>
      <c r="B943" s="22"/>
      <c r="C943" s="22"/>
      <c r="D943" s="22"/>
      <c r="E943" s="18">
        <v>13.0</v>
      </c>
      <c r="F943" s="22"/>
      <c r="G943" s="18" t="s">
        <v>386</v>
      </c>
      <c r="H943" s="22"/>
      <c r="I943" s="22"/>
      <c r="J943" s="22"/>
      <c r="K943" s="22"/>
      <c r="L943" s="22"/>
      <c r="M943" s="22"/>
      <c r="N943" s="22"/>
      <c r="O943" s="22"/>
      <c r="P943" s="22"/>
      <c r="Q943" s="18" t="s">
        <v>387</v>
      </c>
      <c r="R943" s="22"/>
      <c r="S943" s="22"/>
      <c r="T943" s="19">
        <v>1466.0</v>
      </c>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c r="BK943" s="10"/>
    </row>
    <row r="944">
      <c r="A944" s="16" t="s">
        <v>388</v>
      </c>
      <c r="B944" s="35" t="s">
        <v>181</v>
      </c>
      <c r="C944" s="16" t="s">
        <v>87</v>
      </c>
      <c r="D944" s="16">
        <v>4.0</v>
      </c>
      <c r="E944" s="18">
        <v>9.0</v>
      </c>
      <c r="F944" s="18">
        <v>260.0</v>
      </c>
      <c r="G944" s="16" t="s">
        <v>85</v>
      </c>
      <c r="H944" s="16" t="s">
        <v>85</v>
      </c>
      <c r="I944" s="16" t="s">
        <v>85</v>
      </c>
      <c r="J944" s="16" t="s">
        <v>85</v>
      </c>
      <c r="K944" s="16" t="s">
        <v>85</v>
      </c>
      <c r="L944" s="16" t="s">
        <v>85</v>
      </c>
      <c r="M944" s="16" t="s">
        <v>85</v>
      </c>
      <c r="N944" s="16" t="s">
        <v>85</v>
      </c>
      <c r="O944" s="16" t="s">
        <v>85</v>
      </c>
      <c r="P944" s="16" t="s">
        <v>85</v>
      </c>
      <c r="Q944" s="18">
        <v>173.0</v>
      </c>
      <c r="R944" s="16" t="s">
        <v>85</v>
      </c>
      <c r="S944" s="16" t="s">
        <v>85</v>
      </c>
      <c r="T944" s="18">
        <v>750.0</v>
      </c>
      <c r="U944" s="16" t="s">
        <v>85</v>
      </c>
      <c r="V944" s="16" t="s">
        <v>85</v>
      </c>
      <c r="W944" s="16" t="s">
        <v>186</v>
      </c>
      <c r="X944" s="18">
        <v>9.0</v>
      </c>
      <c r="Y944" s="16" t="s">
        <v>85</v>
      </c>
      <c r="Z944" s="16" t="s">
        <v>85</v>
      </c>
      <c r="AA944" s="16" t="s">
        <v>85</v>
      </c>
      <c r="AB944" s="16" t="s">
        <v>85</v>
      </c>
      <c r="AC944" s="16" t="s">
        <v>191</v>
      </c>
      <c r="AD944" s="16" t="s">
        <v>85</v>
      </c>
      <c r="AE944" s="16" t="s">
        <v>108</v>
      </c>
      <c r="AF944" s="16" t="s">
        <v>98</v>
      </c>
      <c r="AG944" s="16" t="s">
        <v>95</v>
      </c>
      <c r="AH944" s="16" t="s">
        <v>85</v>
      </c>
      <c r="AI944" s="16" t="s">
        <v>91</v>
      </c>
      <c r="AJ944" s="16" t="s">
        <v>85</v>
      </c>
      <c r="AK944" s="16" t="s">
        <v>85</v>
      </c>
      <c r="AL944" s="16" t="s">
        <v>85</v>
      </c>
      <c r="AM944" s="16" t="s">
        <v>85</v>
      </c>
      <c r="AN944" s="16" t="s">
        <v>85</v>
      </c>
      <c r="AO944" s="16" t="s">
        <v>85</v>
      </c>
      <c r="AP944" s="16" t="s">
        <v>85</v>
      </c>
      <c r="AQ944" s="16" t="s">
        <v>85</v>
      </c>
      <c r="AR944" s="16" t="s">
        <v>85</v>
      </c>
      <c r="AS944" s="16" t="s">
        <v>85</v>
      </c>
      <c r="AT944" s="16" t="s">
        <v>85</v>
      </c>
      <c r="AU944" s="16" t="s">
        <v>85</v>
      </c>
      <c r="AV944" s="16" t="s">
        <v>85</v>
      </c>
      <c r="AW944" s="16" t="s">
        <v>85</v>
      </c>
      <c r="AX944" s="16" t="s">
        <v>85</v>
      </c>
      <c r="AY944" s="16" t="s">
        <v>85</v>
      </c>
      <c r="AZ944" s="16" t="s">
        <v>85</v>
      </c>
      <c r="BA944" s="16" t="s">
        <v>85</v>
      </c>
      <c r="BB944" s="16" t="s">
        <v>85</v>
      </c>
      <c r="BC944" s="16" t="s">
        <v>85</v>
      </c>
      <c r="BD944" s="16" t="s">
        <v>85</v>
      </c>
      <c r="BE944" s="16" t="s">
        <v>85</v>
      </c>
      <c r="BF944" s="16" t="s">
        <v>85</v>
      </c>
      <c r="BG944" s="16" t="s">
        <v>85</v>
      </c>
      <c r="BH944" s="16" t="s">
        <v>85</v>
      </c>
      <c r="BI944" s="16" t="s">
        <v>85</v>
      </c>
      <c r="BJ944" s="16" t="s">
        <v>85</v>
      </c>
      <c r="BK944" s="10"/>
    </row>
    <row r="945">
      <c r="A945" s="21"/>
      <c r="B945" s="21"/>
      <c r="C945" s="21"/>
      <c r="D945" s="21"/>
      <c r="E945" s="18">
        <v>10.0</v>
      </c>
      <c r="F945" s="18">
        <v>286.0</v>
      </c>
      <c r="G945" s="21"/>
      <c r="H945" s="21"/>
      <c r="I945" s="21"/>
      <c r="J945" s="21"/>
      <c r="K945" s="21"/>
      <c r="L945" s="21"/>
      <c r="M945" s="21"/>
      <c r="N945" s="21"/>
      <c r="O945" s="21"/>
      <c r="P945" s="21"/>
      <c r="Q945" s="18">
        <v>190.0</v>
      </c>
      <c r="R945" s="21"/>
      <c r="S945" s="21"/>
      <c r="T945" s="18">
        <v>825.0</v>
      </c>
      <c r="U945" s="21"/>
      <c r="V945" s="21"/>
      <c r="W945" s="21"/>
      <c r="X945" s="18">
        <v>10.0</v>
      </c>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c r="BA945" s="21"/>
      <c r="BB945" s="21"/>
      <c r="BC945" s="21"/>
      <c r="BD945" s="21"/>
      <c r="BE945" s="21"/>
      <c r="BF945" s="21"/>
      <c r="BG945" s="21"/>
      <c r="BH945" s="21"/>
      <c r="BI945" s="21"/>
      <c r="BJ945" s="21"/>
      <c r="BK945" s="10"/>
    </row>
    <row r="946">
      <c r="A946" s="21"/>
      <c r="B946" s="21"/>
      <c r="C946" s="21"/>
      <c r="D946" s="21"/>
      <c r="E946" s="18">
        <v>11.0</v>
      </c>
      <c r="F946" s="18">
        <v>314.0</v>
      </c>
      <c r="G946" s="21"/>
      <c r="H946" s="21"/>
      <c r="I946" s="21"/>
      <c r="J946" s="21"/>
      <c r="K946" s="21"/>
      <c r="L946" s="21"/>
      <c r="M946" s="21"/>
      <c r="N946" s="21"/>
      <c r="O946" s="21"/>
      <c r="P946" s="21"/>
      <c r="Q946" s="18">
        <v>209.0</v>
      </c>
      <c r="R946" s="21"/>
      <c r="S946" s="21"/>
      <c r="T946" s="18">
        <v>907.0</v>
      </c>
      <c r="U946" s="21"/>
      <c r="V946" s="21"/>
      <c r="W946" s="21"/>
      <c r="X946" s="18">
        <v>11.0</v>
      </c>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c r="BA946" s="21"/>
      <c r="BB946" s="21"/>
      <c r="BC946" s="21"/>
      <c r="BD946" s="21"/>
      <c r="BE946" s="21"/>
      <c r="BF946" s="21"/>
      <c r="BG946" s="21"/>
      <c r="BH946" s="21"/>
      <c r="BI946" s="21"/>
      <c r="BJ946" s="21"/>
      <c r="BK946" s="10"/>
    </row>
    <row r="947">
      <c r="A947" s="21"/>
      <c r="B947" s="21"/>
      <c r="C947" s="21"/>
      <c r="D947" s="21"/>
      <c r="E947" s="18">
        <v>12.0</v>
      </c>
      <c r="F947" s="18">
        <v>345.0</v>
      </c>
      <c r="G947" s="21"/>
      <c r="H947" s="21"/>
      <c r="I947" s="21"/>
      <c r="J947" s="21"/>
      <c r="K947" s="21"/>
      <c r="L947" s="21"/>
      <c r="M947" s="21"/>
      <c r="N947" s="21"/>
      <c r="O947" s="21"/>
      <c r="P947" s="21"/>
      <c r="Q947" s="18">
        <v>230.0</v>
      </c>
      <c r="R947" s="21"/>
      <c r="S947" s="21"/>
      <c r="T947" s="18">
        <v>997.0</v>
      </c>
      <c r="U947" s="21"/>
      <c r="V947" s="21"/>
      <c r="W947" s="21"/>
      <c r="X947" s="18">
        <v>12.0</v>
      </c>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c r="BA947" s="21"/>
      <c r="BB947" s="21"/>
      <c r="BC947" s="21"/>
      <c r="BD947" s="21"/>
      <c r="BE947" s="21"/>
      <c r="BF947" s="21"/>
      <c r="BG947" s="21"/>
      <c r="BH947" s="21"/>
      <c r="BI947" s="21"/>
      <c r="BJ947" s="21"/>
      <c r="BK947" s="10"/>
    </row>
    <row r="948">
      <c r="A948" s="22"/>
      <c r="B948" s="22"/>
      <c r="C948" s="22"/>
      <c r="D948" s="22"/>
      <c r="E948" s="18">
        <v>13.0</v>
      </c>
      <c r="F948" s="18">
        <v>379.0</v>
      </c>
      <c r="G948" s="22"/>
      <c r="H948" s="22"/>
      <c r="I948" s="22"/>
      <c r="J948" s="22"/>
      <c r="K948" s="22"/>
      <c r="L948" s="22"/>
      <c r="M948" s="22"/>
      <c r="N948" s="22"/>
      <c r="O948" s="22"/>
      <c r="P948" s="22"/>
      <c r="Q948" s="18">
        <v>252.0</v>
      </c>
      <c r="R948" s="22"/>
      <c r="S948" s="22"/>
      <c r="T948" s="18">
        <v>1095.0</v>
      </c>
      <c r="U948" s="22"/>
      <c r="V948" s="22"/>
      <c r="W948" s="22"/>
      <c r="X948" s="18">
        <v>13.0</v>
      </c>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c r="BK948" s="10"/>
    </row>
    <row r="949">
      <c r="A949" s="16" t="s">
        <v>389</v>
      </c>
      <c r="B949" s="35" t="s">
        <v>181</v>
      </c>
      <c r="C949" s="16" t="s">
        <v>87</v>
      </c>
      <c r="D949" s="16">
        <v>4.0</v>
      </c>
      <c r="E949" s="32">
        <v>9.0</v>
      </c>
      <c r="F949" s="18">
        <v>200.0</v>
      </c>
      <c r="G949" s="16" t="s">
        <v>85</v>
      </c>
      <c r="H949" s="16" t="s">
        <v>85</v>
      </c>
      <c r="I949" s="16" t="s">
        <v>85</v>
      </c>
      <c r="J949" s="16" t="s">
        <v>85</v>
      </c>
      <c r="K949" s="16" t="s">
        <v>85</v>
      </c>
      <c r="L949" s="16" t="s">
        <v>85</v>
      </c>
      <c r="M949" s="16" t="s">
        <v>85</v>
      </c>
      <c r="N949" s="16" t="s">
        <v>85</v>
      </c>
      <c r="O949" s="16" t="s">
        <v>85</v>
      </c>
      <c r="P949" s="16" t="s">
        <v>85</v>
      </c>
      <c r="Q949" s="19">
        <v>250.0</v>
      </c>
      <c r="R949" s="16" t="s">
        <v>85</v>
      </c>
      <c r="S949" s="16" t="s">
        <v>85</v>
      </c>
      <c r="T949" s="18">
        <v>1060.0</v>
      </c>
      <c r="U949" s="16" t="s">
        <v>85</v>
      </c>
      <c r="V949" s="16" t="s">
        <v>85</v>
      </c>
      <c r="W949" s="16" t="s">
        <v>85</v>
      </c>
      <c r="X949" s="16" t="s">
        <v>85</v>
      </c>
      <c r="Y949" s="16" t="s">
        <v>85</v>
      </c>
      <c r="Z949" s="16" t="s">
        <v>85</v>
      </c>
      <c r="AA949" s="16" t="s">
        <v>85</v>
      </c>
      <c r="AB949" s="16" t="s">
        <v>85</v>
      </c>
      <c r="AC949" s="16" t="s">
        <v>85</v>
      </c>
      <c r="AD949" s="16" t="s">
        <v>85</v>
      </c>
      <c r="AE949" s="16" t="s">
        <v>390</v>
      </c>
      <c r="AF949" s="16" t="s">
        <v>98</v>
      </c>
      <c r="AG949" s="16" t="s">
        <v>114</v>
      </c>
      <c r="AH949" s="16" t="s">
        <v>85</v>
      </c>
      <c r="AI949" s="16" t="s">
        <v>104</v>
      </c>
      <c r="AJ949" s="16" t="s">
        <v>85</v>
      </c>
      <c r="AK949" s="16" t="s">
        <v>85</v>
      </c>
      <c r="AL949" s="16" t="s">
        <v>85</v>
      </c>
      <c r="AM949" s="16" t="s">
        <v>85</v>
      </c>
      <c r="AN949" s="16" t="s">
        <v>85</v>
      </c>
      <c r="AO949" s="16" t="s">
        <v>85</v>
      </c>
      <c r="AP949" s="16" t="s">
        <v>85</v>
      </c>
      <c r="AQ949" s="16" t="s">
        <v>85</v>
      </c>
      <c r="AR949" s="16" t="s">
        <v>85</v>
      </c>
      <c r="AS949" s="16" t="s">
        <v>85</v>
      </c>
      <c r="AT949" s="16" t="s">
        <v>85</v>
      </c>
      <c r="AU949" s="16" t="s">
        <v>85</v>
      </c>
      <c r="AV949" s="16" t="s">
        <v>85</v>
      </c>
      <c r="AW949" s="16" t="s">
        <v>85</v>
      </c>
      <c r="AX949" s="16" t="s">
        <v>85</v>
      </c>
      <c r="AY949" s="16" t="s">
        <v>85</v>
      </c>
      <c r="AZ949" s="16" t="s">
        <v>85</v>
      </c>
      <c r="BA949" s="16" t="s">
        <v>85</v>
      </c>
      <c r="BB949" s="16" t="s">
        <v>85</v>
      </c>
      <c r="BC949" s="16" t="s">
        <v>85</v>
      </c>
      <c r="BD949" s="16" t="s">
        <v>85</v>
      </c>
      <c r="BE949" s="16" t="s">
        <v>85</v>
      </c>
      <c r="BF949" s="16" t="s">
        <v>85</v>
      </c>
      <c r="BG949" s="16" t="s">
        <v>85</v>
      </c>
      <c r="BH949" s="16" t="s">
        <v>85</v>
      </c>
      <c r="BI949" s="16" t="s">
        <v>85</v>
      </c>
      <c r="BJ949" s="16" t="s">
        <v>85</v>
      </c>
      <c r="BK949" s="10"/>
    </row>
    <row r="950">
      <c r="A950" s="21"/>
      <c r="B950" s="21"/>
      <c r="C950" s="21"/>
      <c r="D950" s="21"/>
      <c r="E950" s="32">
        <v>10.0</v>
      </c>
      <c r="F950" s="18">
        <v>220.0</v>
      </c>
      <c r="G950" s="21"/>
      <c r="H950" s="21"/>
      <c r="I950" s="21"/>
      <c r="J950" s="21"/>
      <c r="K950" s="21"/>
      <c r="L950" s="21"/>
      <c r="M950" s="21"/>
      <c r="N950" s="21"/>
      <c r="O950" s="21"/>
      <c r="P950" s="21"/>
      <c r="Q950" s="19">
        <v>275.0</v>
      </c>
      <c r="R950" s="21"/>
      <c r="S950" s="21"/>
      <c r="T950" s="19">
        <v>1166.0</v>
      </c>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c r="BA950" s="21"/>
      <c r="BB950" s="21"/>
      <c r="BC950" s="21"/>
      <c r="BD950" s="21"/>
      <c r="BE950" s="21"/>
      <c r="BF950" s="21"/>
      <c r="BG950" s="21"/>
      <c r="BH950" s="21"/>
      <c r="BI950" s="21"/>
      <c r="BJ950" s="21"/>
      <c r="BK950" s="10"/>
    </row>
    <row r="951">
      <c r="A951" s="21"/>
      <c r="B951" s="21"/>
      <c r="C951" s="21"/>
      <c r="D951" s="21"/>
      <c r="E951" s="32">
        <v>11.0</v>
      </c>
      <c r="F951" s="18">
        <v>242.0</v>
      </c>
      <c r="G951" s="21"/>
      <c r="H951" s="21"/>
      <c r="I951" s="21"/>
      <c r="J951" s="21"/>
      <c r="K951" s="21"/>
      <c r="L951" s="21"/>
      <c r="M951" s="21"/>
      <c r="N951" s="21"/>
      <c r="O951" s="21"/>
      <c r="P951" s="21"/>
      <c r="Q951" s="19">
        <v>302.0</v>
      </c>
      <c r="R951" s="21"/>
      <c r="S951" s="21"/>
      <c r="T951" s="19">
        <v>1282.0</v>
      </c>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c r="BA951" s="21"/>
      <c r="BB951" s="21"/>
      <c r="BC951" s="21"/>
      <c r="BD951" s="21"/>
      <c r="BE951" s="21"/>
      <c r="BF951" s="21"/>
      <c r="BG951" s="21"/>
      <c r="BH951" s="21"/>
      <c r="BI951" s="21"/>
      <c r="BJ951" s="21"/>
      <c r="BK951" s="10"/>
    </row>
    <row r="952">
      <c r="A952" s="21"/>
      <c r="B952" s="21"/>
      <c r="C952" s="21"/>
      <c r="D952" s="21"/>
      <c r="E952" s="32">
        <v>12.0</v>
      </c>
      <c r="F952" s="18">
        <v>266.0</v>
      </c>
      <c r="G952" s="21"/>
      <c r="H952" s="21"/>
      <c r="I952" s="21"/>
      <c r="J952" s="21"/>
      <c r="K952" s="21"/>
      <c r="L952" s="21"/>
      <c r="M952" s="21"/>
      <c r="N952" s="21"/>
      <c r="O952" s="21"/>
      <c r="P952" s="21"/>
      <c r="Q952" s="19">
        <v>332.0</v>
      </c>
      <c r="R952" s="21"/>
      <c r="S952" s="21"/>
      <c r="T952" s="19">
        <v>1409.0</v>
      </c>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c r="BA952" s="21"/>
      <c r="BB952" s="21"/>
      <c r="BC952" s="21"/>
      <c r="BD952" s="21"/>
      <c r="BE952" s="21"/>
      <c r="BF952" s="21"/>
      <c r="BG952" s="21"/>
      <c r="BH952" s="21"/>
      <c r="BI952" s="21"/>
      <c r="BJ952" s="21"/>
      <c r="BK952" s="10"/>
    </row>
    <row r="953">
      <c r="A953" s="22"/>
      <c r="B953" s="22"/>
      <c r="C953" s="22"/>
      <c r="D953" s="22"/>
      <c r="E953" s="32">
        <v>13.0</v>
      </c>
      <c r="F953" s="18">
        <v>292.0</v>
      </c>
      <c r="G953" s="22"/>
      <c r="H953" s="22"/>
      <c r="I953" s="22"/>
      <c r="J953" s="22"/>
      <c r="K953" s="22"/>
      <c r="L953" s="22"/>
      <c r="M953" s="22"/>
      <c r="N953" s="22"/>
      <c r="O953" s="22"/>
      <c r="P953" s="22"/>
      <c r="Q953" s="19">
        <v>365.0</v>
      </c>
      <c r="R953" s="22"/>
      <c r="S953" s="22"/>
      <c r="T953" s="19">
        <v>1547.0</v>
      </c>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c r="BK953" s="10"/>
    </row>
    <row r="954">
      <c r="A954" s="12" t="s">
        <v>391</v>
      </c>
      <c r="B954" s="13" t="s">
        <v>392</v>
      </c>
      <c r="C954" s="14"/>
      <c r="D954" s="14"/>
      <c r="E954" s="15"/>
      <c r="F954" s="29"/>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5"/>
      <c r="BK954" s="10"/>
    </row>
    <row r="955">
      <c r="A955" s="16" t="s">
        <v>393</v>
      </c>
      <c r="B955" s="17" t="s">
        <v>83</v>
      </c>
      <c r="C955" s="16" t="s">
        <v>84</v>
      </c>
      <c r="D955" s="16">
        <v>3.0</v>
      </c>
      <c r="E955" s="18">
        <v>1.0</v>
      </c>
      <c r="F955" s="16" t="s">
        <v>85</v>
      </c>
      <c r="G955" s="18">
        <v>171.0</v>
      </c>
      <c r="H955" s="16" t="s">
        <v>85</v>
      </c>
      <c r="I955" s="16" t="s">
        <v>85</v>
      </c>
      <c r="J955" s="16" t="s">
        <v>85</v>
      </c>
      <c r="K955" s="16" t="s">
        <v>85</v>
      </c>
      <c r="L955" s="16" t="s">
        <v>85</v>
      </c>
      <c r="M955" s="16" t="s">
        <v>85</v>
      </c>
      <c r="N955" s="16" t="s">
        <v>85</v>
      </c>
      <c r="O955" s="16" t="s">
        <v>85</v>
      </c>
      <c r="P955" s="16" t="s">
        <v>85</v>
      </c>
      <c r="Q955" s="16" t="s">
        <v>85</v>
      </c>
      <c r="R955" s="16" t="s">
        <v>85</v>
      </c>
      <c r="S955" s="16" t="s">
        <v>85</v>
      </c>
      <c r="T955" s="16" t="s">
        <v>85</v>
      </c>
      <c r="U955" s="16" t="s">
        <v>85</v>
      </c>
      <c r="V955" s="16" t="s">
        <v>85</v>
      </c>
      <c r="W955" s="16" t="s">
        <v>394</v>
      </c>
      <c r="X955" s="18">
        <v>1.0</v>
      </c>
      <c r="Y955" s="16" t="s">
        <v>85</v>
      </c>
      <c r="Z955" s="16" t="s">
        <v>85</v>
      </c>
      <c r="AA955" s="16" t="s">
        <v>85</v>
      </c>
      <c r="AB955" s="16" t="s">
        <v>85</v>
      </c>
      <c r="AC955" s="16" t="s">
        <v>85</v>
      </c>
      <c r="AD955" s="16" t="s">
        <v>85</v>
      </c>
      <c r="AE955" s="16" t="s">
        <v>85</v>
      </c>
      <c r="AF955" s="16" t="s">
        <v>85</v>
      </c>
      <c r="AG955" s="16" t="s">
        <v>85</v>
      </c>
      <c r="AH955" s="16" t="s">
        <v>85</v>
      </c>
      <c r="AI955" s="16" t="s">
        <v>85</v>
      </c>
      <c r="AJ955" s="16" t="s">
        <v>85</v>
      </c>
      <c r="AK955" s="16" t="s">
        <v>85</v>
      </c>
      <c r="AL955" s="16" t="s">
        <v>85</v>
      </c>
      <c r="AM955" s="16" t="s">
        <v>120</v>
      </c>
      <c r="AN955" s="16" t="s">
        <v>85</v>
      </c>
      <c r="AO955" s="16" t="s">
        <v>85</v>
      </c>
      <c r="AP955" s="16" t="s">
        <v>85</v>
      </c>
      <c r="AQ955" s="16" t="s">
        <v>85</v>
      </c>
      <c r="AR955" s="16" t="s">
        <v>85</v>
      </c>
      <c r="AS955" s="16" t="s">
        <v>85</v>
      </c>
      <c r="AT955" s="16" t="s">
        <v>85</v>
      </c>
      <c r="AU955" s="16" t="s">
        <v>85</v>
      </c>
      <c r="AV955" s="16" t="s">
        <v>85</v>
      </c>
      <c r="AW955" s="16" t="s">
        <v>85</v>
      </c>
      <c r="AX955" s="16" t="s">
        <v>85</v>
      </c>
      <c r="AY955" s="16" t="s">
        <v>85</v>
      </c>
      <c r="AZ955" s="16" t="s">
        <v>85</v>
      </c>
      <c r="BA955" s="16" t="s">
        <v>85</v>
      </c>
      <c r="BB955" s="16" t="s">
        <v>85</v>
      </c>
      <c r="BC955" s="16" t="s">
        <v>85</v>
      </c>
      <c r="BD955" s="16" t="s">
        <v>85</v>
      </c>
      <c r="BE955" s="16" t="s">
        <v>85</v>
      </c>
      <c r="BF955" s="16" t="s">
        <v>85</v>
      </c>
      <c r="BG955" s="16" t="s">
        <v>85</v>
      </c>
      <c r="BH955" s="16" t="s">
        <v>85</v>
      </c>
      <c r="BI955" s="16" t="s">
        <v>85</v>
      </c>
      <c r="BJ955" s="16">
        <v>3.0</v>
      </c>
      <c r="BK955" s="10"/>
    </row>
    <row r="956">
      <c r="A956" s="21"/>
      <c r="B956" s="21"/>
      <c r="C956" s="21"/>
      <c r="D956" s="21"/>
      <c r="E956" s="18">
        <v>2.0</v>
      </c>
      <c r="F956" s="21"/>
      <c r="G956" s="19">
        <v>188.0</v>
      </c>
      <c r="H956" s="21"/>
      <c r="I956" s="21"/>
      <c r="J956" s="21"/>
      <c r="K956" s="21"/>
      <c r="L956" s="21"/>
      <c r="M956" s="21"/>
      <c r="N956" s="21"/>
      <c r="O956" s="21"/>
      <c r="P956" s="21"/>
      <c r="Q956" s="21"/>
      <c r="R956" s="21"/>
      <c r="S956" s="21"/>
      <c r="T956" s="21"/>
      <c r="U956" s="21"/>
      <c r="V956" s="21"/>
      <c r="W956" s="21"/>
      <c r="X956" s="18">
        <v>2.0</v>
      </c>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c r="BA956" s="21"/>
      <c r="BB956" s="21"/>
      <c r="BC956" s="21"/>
      <c r="BD956" s="21"/>
      <c r="BE956" s="21"/>
      <c r="BF956" s="21"/>
      <c r="BG956" s="21"/>
      <c r="BH956" s="21"/>
      <c r="BI956" s="21"/>
      <c r="BJ956" s="21"/>
      <c r="BK956" s="10"/>
    </row>
    <row r="957">
      <c r="A957" s="21"/>
      <c r="B957" s="21"/>
      <c r="C957" s="21"/>
      <c r="D957" s="21"/>
      <c r="E957" s="18">
        <v>3.0</v>
      </c>
      <c r="F957" s="21"/>
      <c r="G957" s="19">
        <v>206.0</v>
      </c>
      <c r="H957" s="21"/>
      <c r="I957" s="21"/>
      <c r="J957" s="21"/>
      <c r="K957" s="21"/>
      <c r="L957" s="21"/>
      <c r="M957" s="21"/>
      <c r="N957" s="21"/>
      <c r="O957" s="21"/>
      <c r="P957" s="21"/>
      <c r="Q957" s="21"/>
      <c r="R957" s="21"/>
      <c r="S957" s="21"/>
      <c r="T957" s="21"/>
      <c r="U957" s="21"/>
      <c r="V957" s="21"/>
      <c r="W957" s="21"/>
      <c r="X957" s="18">
        <v>3.0</v>
      </c>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c r="BA957" s="21"/>
      <c r="BB957" s="21"/>
      <c r="BC957" s="21"/>
      <c r="BD957" s="21"/>
      <c r="BE957" s="21"/>
      <c r="BF957" s="21"/>
      <c r="BG957" s="21"/>
      <c r="BH957" s="21"/>
      <c r="BI957" s="21"/>
      <c r="BJ957" s="21"/>
      <c r="BK957" s="10"/>
    </row>
    <row r="958">
      <c r="A958" s="21"/>
      <c r="B958" s="21"/>
      <c r="C958" s="21"/>
      <c r="D958" s="21"/>
      <c r="E958" s="18">
        <v>4.0</v>
      </c>
      <c r="F958" s="21"/>
      <c r="G958" s="19">
        <v>227.0</v>
      </c>
      <c r="H958" s="21"/>
      <c r="I958" s="21"/>
      <c r="J958" s="21"/>
      <c r="K958" s="21"/>
      <c r="L958" s="21"/>
      <c r="M958" s="21"/>
      <c r="N958" s="21"/>
      <c r="O958" s="21"/>
      <c r="P958" s="21"/>
      <c r="Q958" s="21"/>
      <c r="R958" s="21"/>
      <c r="S958" s="21"/>
      <c r="T958" s="21"/>
      <c r="U958" s="21"/>
      <c r="V958" s="21"/>
      <c r="W958" s="21"/>
      <c r="X958" s="18">
        <v>4.0</v>
      </c>
      <c r="Y958" s="21"/>
      <c r="Z958" s="21"/>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21"/>
      <c r="BA958" s="21"/>
      <c r="BB958" s="21"/>
      <c r="BC958" s="21"/>
      <c r="BD958" s="21"/>
      <c r="BE958" s="21"/>
      <c r="BF958" s="21"/>
      <c r="BG958" s="21"/>
      <c r="BH958" s="21"/>
      <c r="BI958" s="21"/>
      <c r="BJ958" s="21"/>
      <c r="BK958" s="10"/>
    </row>
    <row r="959">
      <c r="A959" s="21"/>
      <c r="B959" s="21"/>
      <c r="C959" s="21"/>
      <c r="D959" s="21"/>
      <c r="E959" s="18">
        <v>5.0</v>
      </c>
      <c r="F959" s="21"/>
      <c r="G959" s="19">
        <v>249.0</v>
      </c>
      <c r="H959" s="21"/>
      <c r="I959" s="21"/>
      <c r="J959" s="21"/>
      <c r="K959" s="21"/>
      <c r="L959" s="21"/>
      <c r="M959" s="21"/>
      <c r="N959" s="21"/>
      <c r="O959" s="21"/>
      <c r="P959" s="21"/>
      <c r="Q959" s="21"/>
      <c r="R959" s="21"/>
      <c r="S959" s="21"/>
      <c r="T959" s="21"/>
      <c r="U959" s="21"/>
      <c r="V959" s="21"/>
      <c r="W959" s="21"/>
      <c r="X959" s="18">
        <v>5.0</v>
      </c>
      <c r="Y959" s="21"/>
      <c r="Z959" s="21"/>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21"/>
      <c r="BA959" s="21"/>
      <c r="BB959" s="21"/>
      <c r="BC959" s="21"/>
      <c r="BD959" s="21"/>
      <c r="BE959" s="21"/>
      <c r="BF959" s="21"/>
      <c r="BG959" s="21"/>
      <c r="BH959" s="21"/>
      <c r="BI959" s="21"/>
      <c r="BJ959" s="21"/>
      <c r="BK959" s="10"/>
    </row>
    <row r="960">
      <c r="A960" s="21"/>
      <c r="B960" s="21"/>
      <c r="C960" s="21"/>
      <c r="D960" s="21"/>
      <c r="E960" s="18">
        <v>6.0</v>
      </c>
      <c r="F960" s="21"/>
      <c r="G960" s="19">
        <v>273.0</v>
      </c>
      <c r="H960" s="21"/>
      <c r="I960" s="21"/>
      <c r="J960" s="21"/>
      <c r="K960" s="21"/>
      <c r="L960" s="21"/>
      <c r="M960" s="21"/>
      <c r="N960" s="21"/>
      <c r="O960" s="21"/>
      <c r="P960" s="21"/>
      <c r="Q960" s="21"/>
      <c r="R960" s="21"/>
      <c r="S960" s="21"/>
      <c r="T960" s="21"/>
      <c r="U960" s="21"/>
      <c r="V960" s="21"/>
      <c r="W960" s="21"/>
      <c r="X960" s="18">
        <v>6.0</v>
      </c>
      <c r="Y960" s="21"/>
      <c r="Z960" s="21"/>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21"/>
      <c r="BA960" s="21"/>
      <c r="BB960" s="21"/>
      <c r="BC960" s="21"/>
      <c r="BD960" s="21"/>
      <c r="BE960" s="21"/>
      <c r="BF960" s="21"/>
      <c r="BG960" s="21"/>
      <c r="BH960" s="21"/>
      <c r="BI960" s="21"/>
      <c r="BJ960" s="21"/>
      <c r="BK960" s="10"/>
    </row>
    <row r="961">
      <c r="A961" s="21"/>
      <c r="B961" s="21"/>
      <c r="C961" s="21"/>
      <c r="D961" s="21"/>
      <c r="E961" s="18">
        <v>7.0</v>
      </c>
      <c r="F961" s="21"/>
      <c r="G961" s="19">
        <v>300.0</v>
      </c>
      <c r="H961" s="21"/>
      <c r="I961" s="21"/>
      <c r="J961" s="21"/>
      <c r="K961" s="21"/>
      <c r="L961" s="21"/>
      <c r="M961" s="21"/>
      <c r="N961" s="21"/>
      <c r="O961" s="21"/>
      <c r="P961" s="21"/>
      <c r="Q961" s="21"/>
      <c r="R961" s="21"/>
      <c r="S961" s="21"/>
      <c r="T961" s="21"/>
      <c r="U961" s="21"/>
      <c r="V961" s="21"/>
      <c r="W961" s="21"/>
      <c r="X961" s="18">
        <v>7.0</v>
      </c>
      <c r="Y961" s="21"/>
      <c r="Z961" s="21"/>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21"/>
      <c r="BA961" s="21"/>
      <c r="BB961" s="21"/>
      <c r="BC961" s="21"/>
      <c r="BD961" s="21"/>
      <c r="BE961" s="21"/>
      <c r="BF961" s="21"/>
      <c r="BG961" s="21"/>
      <c r="BH961" s="21"/>
      <c r="BI961" s="21"/>
      <c r="BJ961" s="21"/>
      <c r="BK961" s="10"/>
    </row>
    <row r="962">
      <c r="A962" s="21"/>
      <c r="B962" s="21"/>
      <c r="C962" s="21"/>
      <c r="D962" s="21"/>
      <c r="E962" s="18">
        <v>8.0</v>
      </c>
      <c r="F962" s="21"/>
      <c r="G962" s="19">
        <v>330.0</v>
      </c>
      <c r="H962" s="21"/>
      <c r="I962" s="21"/>
      <c r="J962" s="21"/>
      <c r="K962" s="21"/>
      <c r="L962" s="21"/>
      <c r="M962" s="21"/>
      <c r="N962" s="21"/>
      <c r="O962" s="21"/>
      <c r="P962" s="21"/>
      <c r="Q962" s="21"/>
      <c r="R962" s="21"/>
      <c r="S962" s="21"/>
      <c r="T962" s="21"/>
      <c r="U962" s="21"/>
      <c r="V962" s="21"/>
      <c r="W962" s="21"/>
      <c r="X962" s="18">
        <v>8.0</v>
      </c>
      <c r="Y962" s="21"/>
      <c r="Z962" s="21"/>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21"/>
      <c r="BA962" s="21"/>
      <c r="BB962" s="21"/>
      <c r="BC962" s="21"/>
      <c r="BD962" s="21"/>
      <c r="BE962" s="21"/>
      <c r="BF962" s="21"/>
      <c r="BG962" s="21"/>
      <c r="BH962" s="21"/>
      <c r="BI962" s="21"/>
      <c r="BJ962" s="21"/>
      <c r="BK962" s="10"/>
    </row>
    <row r="963">
      <c r="A963" s="21"/>
      <c r="B963" s="21"/>
      <c r="C963" s="21"/>
      <c r="D963" s="21"/>
      <c r="E963" s="18">
        <v>9.0</v>
      </c>
      <c r="F963" s="21"/>
      <c r="G963" s="19">
        <v>362.0</v>
      </c>
      <c r="H963" s="21"/>
      <c r="I963" s="21"/>
      <c r="J963" s="21"/>
      <c r="K963" s="21"/>
      <c r="L963" s="21"/>
      <c r="M963" s="21"/>
      <c r="N963" s="21"/>
      <c r="O963" s="21"/>
      <c r="P963" s="21"/>
      <c r="Q963" s="21"/>
      <c r="R963" s="21"/>
      <c r="S963" s="21"/>
      <c r="T963" s="21"/>
      <c r="U963" s="21"/>
      <c r="V963" s="21"/>
      <c r="W963" s="21"/>
      <c r="X963" s="18">
        <v>9.0</v>
      </c>
      <c r="Y963" s="21"/>
      <c r="Z963" s="21"/>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21"/>
      <c r="BA963" s="21"/>
      <c r="BB963" s="21"/>
      <c r="BC963" s="21"/>
      <c r="BD963" s="21"/>
      <c r="BE963" s="21"/>
      <c r="BF963" s="21"/>
      <c r="BG963" s="21"/>
      <c r="BH963" s="21"/>
      <c r="BI963" s="21"/>
      <c r="BJ963" s="21"/>
      <c r="BK963" s="10"/>
    </row>
    <row r="964">
      <c r="A964" s="21"/>
      <c r="B964" s="21"/>
      <c r="C964" s="21"/>
      <c r="D964" s="21"/>
      <c r="E964" s="18">
        <v>10.0</v>
      </c>
      <c r="F964" s="21"/>
      <c r="G964" s="19">
        <v>398.0</v>
      </c>
      <c r="H964" s="21"/>
      <c r="I964" s="21"/>
      <c r="J964" s="21"/>
      <c r="K964" s="21"/>
      <c r="L964" s="21"/>
      <c r="M964" s="21"/>
      <c r="N964" s="21"/>
      <c r="O964" s="21"/>
      <c r="P964" s="21"/>
      <c r="Q964" s="21"/>
      <c r="R964" s="21"/>
      <c r="S964" s="21"/>
      <c r="T964" s="21"/>
      <c r="U964" s="21"/>
      <c r="V964" s="21"/>
      <c r="W964" s="21"/>
      <c r="X964" s="18">
        <v>10.0</v>
      </c>
      <c r="Y964" s="21"/>
      <c r="Z964" s="21"/>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21"/>
      <c r="BA964" s="21"/>
      <c r="BB964" s="21"/>
      <c r="BC964" s="21"/>
      <c r="BD964" s="21"/>
      <c r="BE964" s="21"/>
      <c r="BF964" s="21"/>
      <c r="BG964" s="21"/>
      <c r="BH964" s="21"/>
      <c r="BI964" s="21"/>
      <c r="BJ964" s="21"/>
      <c r="BK964" s="10"/>
    </row>
    <row r="965">
      <c r="A965" s="21"/>
      <c r="B965" s="21"/>
      <c r="C965" s="21"/>
      <c r="D965" s="21"/>
      <c r="E965" s="18">
        <v>11.0</v>
      </c>
      <c r="F965" s="21"/>
      <c r="G965" s="19">
        <v>437.0</v>
      </c>
      <c r="H965" s="21"/>
      <c r="I965" s="21"/>
      <c r="J965" s="21"/>
      <c r="K965" s="21"/>
      <c r="L965" s="21"/>
      <c r="M965" s="21"/>
      <c r="N965" s="21"/>
      <c r="O965" s="21"/>
      <c r="P965" s="21"/>
      <c r="Q965" s="21"/>
      <c r="R965" s="21"/>
      <c r="S965" s="21"/>
      <c r="T965" s="21"/>
      <c r="U965" s="21"/>
      <c r="V965" s="21"/>
      <c r="W965" s="21"/>
      <c r="X965" s="18">
        <v>11.0</v>
      </c>
      <c r="Y965" s="21"/>
      <c r="Z965" s="21"/>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21"/>
      <c r="BA965" s="21"/>
      <c r="BB965" s="21"/>
      <c r="BC965" s="21"/>
      <c r="BD965" s="21"/>
      <c r="BE965" s="21"/>
      <c r="BF965" s="21"/>
      <c r="BG965" s="21"/>
      <c r="BH965" s="21"/>
      <c r="BI965" s="21"/>
      <c r="BJ965" s="21"/>
      <c r="BK965" s="10"/>
    </row>
    <row r="966">
      <c r="A966" s="21"/>
      <c r="B966" s="21"/>
      <c r="C966" s="21"/>
      <c r="D966" s="21"/>
      <c r="E966" s="18">
        <v>12.0</v>
      </c>
      <c r="F966" s="21"/>
      <c r="G966" s="19">
        <v>480.0</v>
      </c>
      <c r="H966" s="21"/>
      <c r="I966" s="21"/>
      <c r="J966" s="21"/>
      <c r="K966" s="21"/>
      <c r="L966" s="21"/>
      <c r="M966" s="21"/>
      <c r="N966" s="21"/>
      <c r="O966" s="21"/>
      <c r="P966" s="21"/>
      <c r="Q966" s="21"/>
      <c r="R966" s="21"/>
      <c r="S966" s="21"/>
      <c r="T966" s="21"/>
      <c r="U966" s="21"/>
      <c r="V966" s="21"/>
      <c r="W966" s="21"/>
      <c r="X966" s="18">
        <v>12.0</v>
      </c>
      <c r="Y966" s="21"/>
      <c r="Z966" s="21"/>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21"/>
      <c r="BA966" s="21"/>
      <c r="BB966" s="21"/>
      <c r="BC966" s="21"/>
      <c r="BD966" s="21"/>
      <c r="BE966" s="21"/>
      <c r="BF966" s="21"/>
      <c r="BG966" s="21"/>
      <c r="BH966" s="21"/>
      <c r="BI966" s="21"/>
      <c r="BJ966" s="21"/>
      <c r="BK966" s="10"/>
    </row>
    <row r="967">
      <c r="A967" s="22"/>
      <c r="B967" s="22"/>
      <c r="C967" s="22"/>
      <c r="D967" s="22"/>
      <c r="E967" s="18">
        <v>13.0</v>
      </c>
      <c r="F967" s="22"/>
      <c r="G967" s="19">
        <v>528.0</v>
      </c>
      <c r="H967" s="22"/>
      <c r="I967" s="22"/>
      <c r="J967" s="22"/>
      <c r="K967" s="22"/>
      <c r="L967" s="22"/>
      <c r="M967" s="22"/>
      <c r="N967" s="22"/>
      <c r="O967" s="22"/>
      <c r="P967" s="22"/>
      <c r="Q967" s="22"/>
      <c r="R967" s="22"/>
      <c r="S967" s="22"/>
      <c r="T967" s="22"/>
      <c r="U967" s="22"/>
      <c r="V967" s="22"/>
      <c r="W967" s="22"/>
      <c r="X967" s="18">
        <v>13.0</v>
      </c>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c r="BK967" s="10"/>
    </row>
    <row r="968">
      <c r="A968" s="16" t="s">
        <v>395</v>
      </c>
      <c r="B968" s="27" t="s">
        <v>101</v>
      </c>
      <c r="C968" s="16" t="s">
        <v>87</v>
      </c>
      <c r="D968" s="16">
        <v>4.0</v>
      </c>
      <c r="E968" s="18">
        <v>3.0</v>
      </c>
      <c r="F968" s="18">
        <v>70.0</v>
      </c>
      <c r="G968" s="16" t="s">
        <v>85</v>
      </c>
      <c r="H968" s="16" t="s">
        <v>85</v>
      </c>
      <c r="I968" s="16" t="s">
        <v>85</v>
      </c>
      <c r="J968" s="16" t="s">
        <v>85</v>
      </c>
      <c r="K968" s="16" t="s">
        <v>85</v>
      </c>
      <c r="L968" s="16" t="s">
        <v>85</v>
      </c>
      <c r="M968" s="16" t="s">
        <v>85</v>
      </c>
      <c r="N968" s="16" t="s">
        <v>85</v>
      </c>
      <c r="O968" s="16" t="s">
        <v>85</v>
      </c>
      <c r="P968" s="16" t="s">
        <v>85</v>
      </c>
      <c r="Q968" s="19">
        <v>46.0</v>
      </c>
      <c r="R968" s="16" t="s">
        <v>85</v>
      </c>
      <c r="S968" s="16" t="s">
        <v>85</v>
      </c>
      <c r="T968" s="18">
        <v>810.0</v>
      </c>
      <c r="U968" s="16" t="s">
        <v>85</v>
      </c>
      <c r="V968" s="18">
        <v>48.0</v>
      </c>
      <c r="W968" s="16" t="s">
        <v>85</v>
      </c>
      <c r="X968" s="16" t="s">
        <v>85</v>
      </c>
      <c r="Y968" s="16" t="s">
        <v>85</v>
      </c>
      <c r="Z968" s="16" t="s">
        <v>85</v>
      </c>
      <c r="AA968" s="16" t="s">
        <v>85</v>
      </c>
      <c r="AB968" s="16" t="s">
        <v>85</v>
      </c>
      <c r="AC968" s="16" t="s">
        <v>85</v>
      </c>
      <c r="AD968" s="16" t="s">
        <v>85</v>
      </c>
      <c r="AE968" s="16" t="s">
        <v>108</v>
      </c>
      <c r="AF968" s="16" t="s">
        <v>98</v>
      </c>
      <c r="AG968" s="16" t="s">
        <v>95</v>
      </c>
      <c r="AH968" s="16" t="s">
        <v>85</v>
      </c>
      <c r="AI968" s="16" t="s">
        <v>91</v>
      </c>
      <c r="AJ968" s="16" t="s">
        <v>85</v>
      </c>
      <c r="AK968" s="16" t="s">
        <v>85</v>
      </c>
      <c r="AL968" s="16" t="s">
        <v>85</v>
      </c>
      <c r="AM968" s="16" t="s">
        <v>85</v>
      </c>
      <c r="AN968" s="16" t="s">
        <v>85</v>
      </c>
      <c r="AO968" s="16" t="s">
        <v>85</v>
      </c>
      <c r="AP968" s="16" t="s">
        <v>85</v>
      </c>
      <c r="AQ968" s="16" t="s">
        <v>85</v>
      </c>
      <c r="AR968" s="16" t="s">
        <v>88</v>
      </c>
      <c r="AS968" s="16" t="s">
        <v>85</v>
      </c>
      <c r="AT968" s="16" t="s">
        <v>85</v>
      </c>
      <c r="AU968" s="16" t="s">
        <v>85</v>
      </c>
      <c r="AV968" s="16" t="s">
        <v>85</v>
      </c>
      <c r="AW968" s="16" t="s">
        <v>85</v>
      </c>
      <c r="AX968" s="16" t="s">
        <v>85</v>
      </c>
      <c r="AY968" s="16" t="s">
        <v>85</v>
      </c>
      <c r="AZ968" s="16" t="s">
        <v>85</v>
      </c>
      <c r="BA968" s="16" t="s">
        <v>85</v>
      </c>
      <c r="BB968" s="16" t="s">
        <v>85</v>
      </c>
      <c r="BC968" s="16" t="s">
        <v>85</v>
      </c>
      <c r="BD968" s="16" t="s">
        <v>85</v>
      </c>
      <c r="BE968" s="16" t="s">
        <v>85</v>
      </c>
      <c r="BF968" s="16" t="s">
        <v>85</v>
      </c>
      <c r="BG968" s="16" t="s">
        <v>85</v>
      </c>
      <c r="BH968" s="16" t="s">
        <v>85</v>
      </c>
      <c r="BI968" s="16" t="s">
        <v>85</v>
      </c>
      <c r="BJ968" s="16" t="s">
        <v>85</v>
      </c>
      <c r="BK968" s="10"/>
    </row>
    <row r="969">
      <c r="A969" s="21"/>
      <c r="B969" s="21"/>
      <c r="C969" s="21"/>
      <c r="D969" s="21"/>
      <c r="E969" s="18">
        <v>4.0</v>
      </c>
      <c r="F969" s="19">
        <v>77.0</v>
      </c>
      <c r="G969" s="21"/>
      <c r="H969" s="21"/>
      <c r="I969" s="21"/>
      <c r="J969" s="21"/>
      <c r="K969" s="21"/>
      <c r="L969" s="21"/>
      <c r="M969" s="21"/>
      <c r="N969" s="21"/>
      <c r="O969" s="21"/>
      <c r="P969" s="21"/>
      <c r="Q969" s="19">
        <v>51.0</v>
      </c>
      <c r="R969" s="21"/>
      <c r="S969" s="21"/>
      <c r="T969" s="19">
        <v>891.0</v>
      </c>
      <c r="U969" s="21"/>
      <c r="V969" s="19">
        <v>52.0</v>
      </c>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21"/>
      <c r="BA969" s="21"/>
      <c r="BB969" s="21"/>
      <c r="BC969" s="21"/>
      <c r="BD969" s="21"/>
      <c r="BE969" s="21"/>
      <c r="BF969" s="21"/>
      <c r="BG969" s="21"/>
      <c r="BH969" s="21"/>
      <c r="BI969" s="21"/>
      <c r="BJ969" s="21"/>
      <c r="BK969" s="10"/>
    </row>
    <row r="970">
      <c r="A970" s="21"/>
      <c r="B970" s="21"/>
      <c r="C970" s="21"/>
      <c r="D970" s="21"/>
      <c r="E970" s="18">
        <v>5.0</v>
      </c>
      <c r="F970" s="19">
        <v>84.0</v>
      </c>
      <c r="G970" s="21"/>
      <c r="H970" s="21"/>
      <c r="I970" s="21"/>
      <c r="J970" s="21"/>
      <c r="K970" s="21"/>
      <c r="L970" s="21"/>
      <c r="M970" s="21"/>
      <c r="N970" s="21"/>
      <c r="O970" s="21"/>
      <c r="P970" s="21"/>
      <c r="Q970" s="19">
        <v>56.0</v>
      </c>
      <c r="R970" s="21"/>
      <c r="S970" s="21"/>
      <c r="T970" s="19">
        <v>980.0</v>
      </c>
      <c r="U970" s="21"/>
      <c r="V970" s="19">
        <v>58.0</v>
      </c>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21"/>
      <c r="BA970" s="21"/>
      <c r="BB970" s="21"/>
      <c r="BC970" s="21"/>
      <c r="BD970" s="21"/>
      <c r="BE970" s="21"/>
      <c r="BF970" s="21"/>
      <c r="BG970" s="21"/>
      <c r="BH970" s="21"/>
      <c r="BI970" s="21"/>
      <c r="BJ970" s="21"/>
      <c r="BK970" s="10"/>
    </row>
    <row r="971">
      <c r="A971" s="21"/>
      <c r="B971" s="21"/>
      <c r="C971" s="21"/>
      <c r="D971" s="21"/>
      <c r="E971" s="18">
        <v>6.0</v>
      </c>
      <c r="F971" s="19">
        <v>93.0</v>
      </c>
      <c r="G971" s="21"/>
      <c r="H971" s="21"/>
      <c r="I971" s="21"/>
      <c r="J971" s="21"/>
      <c r="K971" s="21"/>
      <c r="L971" s="21"/>
      <c r="M971" s="21"/>
      <c r="N971" s="21"/>
      <c r="O971" s="21"/>
      <c r="P971" s="21"/>
      <c r="Q971" s="19">
        <v>62.0</v>
      </c>
      <c r="R971" s="21"/>
      <c r="S971" s="21"/>
      <c r="T971" s="19">
        <v>1077.0</v>
      </c>
      <c r="U971" s="21"/>
      <c r="V971" s="19">
        <v>63.0</v>
      </c>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21"/>
      <c r="BA971" s="21"/>
      <c r="BB971" s="21"/>
      <c r="BC971" s="21"/>
      <c r="BD971" s="21"/>
      <c r="BE971" s="21"/>
      <c r="BF971" s="21"/>
      <c r="BG971" s="21"/>
      <c r="BH971" s="21"/>
      <c r="BI971" s="21"/>
      <c r="BJ971" s="21"/>
      <c r="BK971" s="10"/>
    </row>
    <row r="972">
      <c r="A972" s="21"/>
      <c r="B972" s="21"/>
      <c r="C972" s="21"/>
      <c r="D972" s="21"/>
      <c r="E972" s="18">
        <v>7.0</v>
      </c>
      <c r="F972" s="19">
        <v>102.0</v>
      </c>
      <c r="G972" s="21"/>
      <c r="H972" s="21"/>
      <c r="I972" s="21"/>
      <c r="J972" s="21"/>
      <c r="K972" s="21"/>
      <c r="L972" s="21"/>
      <c r="M972" s="21"/>
      <c r="N972" s="21"/>
      <c r="O972" s="21"/>
      <c r="P972" s="21"/>
      <c r="Q972" s="19">
        <v>68.0</v>
      </c>
      <c r="R972" s="21"/>
      <c r="S972" s="21"/>
      <c r="T972" s="19">
        <v>1182.0</v>
      </c>
      <c r="U972" s="21"/>
      <c r="V972" s="19">
        <v>70.0</v>
      </c>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21"/>
      <c r="BA972" s="21"/>
      <c r="BB972" s="21"/>
      <c r="BC972" s="21"/>
      <c r="BD972" s="21"/>
      <c r="BE972" s="21"/>
      <c r="BF972" s="21"/>
      <c r="BG972" s="21"/>
      <c r="BH972" s="21"/>
      <c r="BI972" s="21"/>
      <c r="BJ972" s="21"/>
      <c r="BK972" s="10"/>
    </row>
    <row r="973">
      <c r="A973" s="21"/>
      <c r="B973" s="21"/>
      <c r="C973" s="21"/>
      <c r="D973" s="21"/>
      <c r="E973" s="18">
        <v>8.0</v>
      </c>
      <c r="F973" s="19">
        <v>112.0</v>
      </c>
      <c r="G973" s="21"/>
      <c r="H973" s="21"/>
      <c r="I973" s="21"/>
      <c r="J973" s="21"/>
      <c r="K973" s="21"/>
      <c r="L973" s="21"/>
      <c r="M973" s="21"/>
      <c r="N973" s="21"/>
      <c r="O973" s="21"/>
      <c r="P973" s="21"/>
      <c r="Q973" s="19">
        <v>74.0</v>
      </c>
      <c r="R973" s="21"/>
      <c r="S973" s="21"/>
      <c r="T973" s="19">
        <v>1296.0</v>
      </c>
      <c r="U973" s="21"/>
      <c r="V973" s="19">
        <v>76.0</v>
      </c>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21"/>
      <c r="BA973" s="21"/>
      <c r="BB973" s="21"/>
      <c r="BC973" s="21"/>
      <c r="BD973" s="21"/>
      <c r="BE973" s="21"/>
      <c r="BF973" s="21"/>
      <c r="BG973" s="21"/>
      <c r="BH973" s="21"/>
      <c r="BI973" s="21"/>
      <c r="BJ973" s="21"/>
      <c r="BK973" s="10"/>
    </row>
    <row r="974">
      <c r="A974" s="21"/>
      <c r="B974" s="21"/>
      <c r="C974" s="21"/>
      <c r="D974" s="21"/>
      <c r="E974" s="18">
        <v>9.0</v>
      </c>
      <c r="F974" s="19">
        <v>123.0</v>
      </c>
      <c r="G974" s="21"/>
      <c r="H974" s="21"/>
      <c r="I974" s="21"/>
      <c r="J974" s="21"/>
      <c r="K974" s="21"/>
      <c r="L974" s="21"/>
      <c r="M974" s="21"/>
      <c r="N974" s="21"/>
      <c r="O974" s="21"/>
      <c r="P974" s="21"/>
      <c r="Q974" s="19">
        <v>82.0</v>
      </c>
      <c r="R974" s="21"/>
      <c r="S974" s="21"/>
      <c r="T974" s="19">
        <v>1425.0</v>
      </c>
      <c r="U974" s="21"/>
      <c r="V974" s="19">
        <v>84.0</v>
      </c>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21"/>
      <c r="BA974" s="21"/>
      <c r="BB974" s="21"/>
      <c r="BC974" s="21"/>
      <c r="BD974" s="21"/>
      <c r="BE974" s="21"/>
      <c r="BF974" s="21"/>
      <c r="BG974" s="21"/>
      <c r="BH974" s="21"/>
      <c r="BI974" s="21"/>
      <c r="BJ974" s="21"/>
      <c r="BK974" s="10"/>
    </row>
    <row r="975">
      <c r="A975" s="21"/>
      <c r="B975" s="21"/>
      <c r="C975" s="21"/>
      <c r="D975" s="21"/>
      <c r="E975" s="18">
        <v>10.0</v>
      </c>
      <c r="F975" s="19">
        <v>135.0</v>
      </c>
      <c r="G975" s="21"/>
      <c r="H975" s="21"/>
      <c r="I975" s="21"/>
      <c r="J975" s="21"/>
      <c r="K975" s="21"/>
      <c r="L975" s="21"/>
      <c r="M975" s="21"/>
      <c r="N975" s="21"/>
      <c r="O975" s="21"/>
      <c r="P975" s="21"/>
      <c r="Q975" s="19">
        <v>90.0</v>
      </c>
      <c r="R975" s="21"/>
      <c r="S975" s="21"/>
      <c r="T975" s="19">
        <v>1563.0</v>
      </c>
      <c r="U975" s="21"/>
      <c r="V975" s="19">
        <v>92.0</v>
      </c>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21"/>
      <c r="BA975" s="21"/>
      <c r="BB975" s="21"/>
      <c r="BC975" s="21"/>
      <c r="BD975" s="21"/>
      <c r="BE975" s="21"/>
      <c r="BF975" s="21"/>
      <c r="BG975" s="21"/>
      <c r="BH975" s="21"/>
      <c r="BI975" s="21"/>
      <c r="BJ975" s="21"/>
      <c r="BK975" s="10"/>
    </row>
    <row r="976">
      <c r="A976" s="21"/>
      <c r="B976" s="21"/>
      <c r="C976" s="21"/>
      <c r="D976" s="21"/>
      <c r="E976" s="18">
        <v>11.0</v>
      </c>
      <c r="F976" s="19">
        <v>148.0</v>
      </c>
      <c r="G976" s="21"/>
      <c r="H976" s="21"/>
      <c r="I976" s="21"/>
      <c r="J976" s="21"/>
      <c r="K976" s="21"/>
      <c r="L976" s="21"/>
      <c r="M976" s="21"/>
      <c r="N976" s="21"/>
      <c r="O976" s="21"/>
      <c r="P976" s="21"/>
      <c r="Q976" s="19">
        <v>98.0</v>
      </c>
      <c r="R976" s="21"/>
      <c r="S976" s="21"/>
      <c r="T976" s="19">
        <v>1717.0</v>
      </c>
      <c r="U976" s="21"/>
      <c r="V976" s="19">
        <v>101.0</v>
      </c>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21"/>
      <c r="BA976" s="21"/>
      <c r="BB976" s="21"/>
      <c r="BC976" s="21"/>
      <c r="BD976" s="21"/>
      <c r="BE976" s="21"/>
      <c r="BF976" s="21"/>
      <c r="BG976" s="21"/>
      <c r="BH976" s="21"/>
      <c r="BI976" s="21"/>
      <c r="BJ976" s="21"/>
      <c r="BK976" s="10"/>
    </row>
    <row r="977">
      <c r="A977" s="21"/>
      <c r="B977" s="21"/>
      <c r="C977" s="21"/>
      <c r="D977" s="21"/>
      <c r="E977" s="18">
        <v>12.0</v>
      </c>
      <c r="F977" s="19">
        <v>163.0</v>
      </c>
      <c r="G977" s="21"/>
      <c r="H977" s="21"/>
      <c r="I977" s="21"/>
      <c r="J977" s="21"/>
      <c r="K977" s="21"/>
      <c r="L977" s="21"/>
      <c r="M977" s="21"/>
      <c r="N977" s="21"/>
      <c r="O977" s="21"/>
      <c r="P977" s="21"/>
      <c r="Q977" s="19">
        <v>108.0</v>
      </c>
      <c r="R977" s="21"/>
      <c r="S977" s="21"/>
      <c r="T977" s="19">
        <v>1887.0</v>
      </c>
      <c r="U977" s="21"/>
      <c r="V977" s="19">
        <v>111.0</v>
      </c>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21"/>
      <c r="BA977" s="21"/>
      <c r="BB977" s="21"/>
      <c r="BC977" s="21"/>
      <c r="BD977" s="21"/>
      <c r="BE977" s="21"/>
      <c r="BF977" s="21"/>
      <c r="BG977" s="21"/>
      <c r="BH977" s="21"/>
      <c r="BI977" s="21"/>
      <c r="BJ977" s="21"/>
      <c r="BK977" s="10"/>
    </row>
    <row r="978">
      <c r="A978" s="22"/>
      <c r="B978" s="22"/>
      <c r="C978" s="22"/>
      <c r="D978" s="22"/>
      <c r="E978" s="18">
        <v>13.0</v>
      </c>
      <c r="F978" s="19">
        <v>179.0</v>
      </c>
      <c r="G978" s="22"/>
      <c r="H978" s="22"/>
      <c r="I978" s="22"/>
      <c r="J978" s="22"/>
      <c r="K978" s="22"/>
      <c r="L978" s="22"/>
      <c r="M978" s="22"/>
      <c r="N978" s="22"/>
      <c r="O978" s="22"/>
      <c r="P978" s="22"/>
      <c r="Q978" s="19">
        <v>119.0</v>
      </c>
      <c r="R978" s="22"/>
      <c r="S978" s="22"/>
      <c r="T978" s="19">
        <v>2073.0</v>
      </c>
      <c r="U978" s="22"/>
      <c r="V978" s="19">
        <v>122.0</v>
      </c>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c r="BK978" s="10"/>
    </row>
    <row r="979">
      <c r="A979" s="16" t="s">
        <v>396</v>
      </c>
      <c r="B979" s="30" t="s">
        <v>131</v>
      </c>
      <c r="C979" s="16" t="s">
        <v>84</v>
      </c>
      <c r="D979" s="16">
        <v>3.0</v>
      </c>
      <c r="E979" s="18">
        <v>6.0</v>
      </c>
      <c r="F979" s="16" t="s">
        <v>85</v>
      </c>
      <c r="G979" s="16" t="s">
        <v>85</v>
      </c>
      <c r="H979" s="16" t="s">
        <v>85</v>
      </c>
      <c r="I979" s="16" t="s">
        <v>85</v>
      </c>
      <c r="J979" s="16" t="s">
        <v>85</v>
      </c>
      <c r="K979" s="16" t="s">
        <v>85</v>
      </c>
      <c r="L979" s="16" t="s">
        <v>85</v>
      </c>
      <c r="M979" s="16" t="s">
        <v>85</v>
      </c>
      <c r="N979" s="16" t="s">
        <v>85</v>
      </c>
      <c r="O979" s="16" t="s">
        <v>85</v>
      </c>
      <c r="P979" s="16" t="s">
        <v>85</v>
      </c>
      <c r="Q979" s="16" t="s">
        <v>85</v>
      </c>
      <c r="R979" s="16" t="s">
        <v>85</v>
      </c>
      <c r="S979" s="16" t="s">
        <v>85</v>
      </c>
      <c r="T979" s="16" t="s">
        <v>85</v>
      </c>
      <c r="U979" s="16" t="s">
        <v>85</v>
      </c>
      <c r="V979" s="16" t="s">
        <v>85</v>
      </c>
      <c r="W979" s="16" t="s">
        <v>85</v>
      </c>
      <c r="X979" s="16" t="s">
        <v>85</v>
      </c>
      <c r="Y979" s="16" t="s">
        <v>85</v>
      </c>
      <c r="Z979" s="16" t="s">
        <v>85</v>
      </c>
      <c r="AA979" s="16" t="s">
        <v>85</v>
      </c>
      <c r="AB979" s="16" t="s">
        <v>85</v>
      </c>
      <c r="AC979" s="16" t="s">
        <v>85</v>
      </c>
      <c r="AD979" s="16" t="s">
        <v>85</v>
      </c>
      <c r="AE979" s="16" t="s">
        <v>85</v>
      </c>
      <c r="AF979" s="16" t="s">
        <v>85</v>
      </c>
      <c r="AG979" s="16" t="s">
        <v>85</v>
      </c>
      <c r="AH979" s="16" t="s">
        <v>85</v>
      </c>
      <c r="AI979" s="16" t="s">
        <v>85</v>
      </c>
      <c r="AJ979" s="16" t="s">
        <v>85</v>
      </c>
      <c r="AK979" s="16" t="s">
        <v>85</v>
      </c>
      <c r="AL979" s="16" t="s">
        <v>85</v>
      </c>
      <c r="AM979" s="16" t="s">
        <v>85</v>
      </c>
      <c r="AN979" s="16" t="s">
        <v>85</v>
      </c>
      <c r="AO979" s="16" t="s">
        <v>85</v>
      </c>
      <c r="AP979" s="16" t="s">
        <v>85</v>
      </c>
      <c r="AQ979" s="16" t="s">
        <v>85</v>
      </c>
      <c r="AR979" s="16" t="s">
        <v>85</v>
      </c>
      <c r="AS979" s="16" t="s">
        <v>85</v>
      </c>
      <c r="AT979" s="16" t="s">
        <v>85</v>
      </c>
      <c r="AU979" s="16" t="s">
        <v>85</v>
      </c>
      <c r="AV979" s="16" t="s">
        <v>85</v>
      </c>
      <c r="AW979" s="16" t="s">
        <v>85</v>
      </c>
      <c r="AX979" s="16" t="s">
        <v>85</v>
      </c>
      <c r="AY979" s="16" t="s">
        <v>85</v>
      </c>
      <c r="AZ979" s="16" t="s">
        <v>85</v>
      </c>
      <c r="BA979" s="16" t="s">
        <v>85</v>
      </c>
      <c r="BB979" s="16" t="s">
        <v>85</v>
      </c>
      <c r="BC979" s="16" t="s">
        <v>85</v>
      </c>
      <c r="BD979" s="18">
        <v>6.0</v>
      </c>
      <c r="BE979" s="18">
        <v>6.0</v>
      </c>
      <c r="BF979" s="18">
        <v>6.0</v>
      </c>
      <c r="BG979" s="18">
        <v>9.0</v>
      </c>
      <c r="BH979" s="16">
        <v>1.0</v>
      </c>
      <c r="BI979" s="16">
        <v>1.0</v>
      </c>
      <c r="BJ979" s="16">
        <v>3.0</v>
      </c>
      <c r="BK979" s="10"/>
    </row>
    <row r="980">
      <c r="A980" s="21"/>
      <c r="B980" s="21"/>
      <c r="C980" s="21"/>
      <c r="D980" s="21"/>
      <c r="E980" s="18">
        <v>7.0</v>
      </c>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21"/>
      <c r="BA980" s="21"/>
      <c r="BB980" s="21"/>
      <c r="BC980" s="21"/>
      <c r="BD980" s="18">
        <v>7.0</v>
      </c>
      <c r="BE980" s="18">
        <v>7.0</v>
      </c>
      <c r="BF980" s="18">
        <v>7.0</v>
      </c>
      <c r="BG980" s="18">
        <v>9.0</v>
      </c>
      <c r="BH980" s="21"/>
      <c r="BI980" s="21"/>
      <c r="BJ980" s="21"/>
      <c r="BK980" s="10"/>
    </row>
    <row r="981">
      <c r="A981" s="21"/>
      <c r="B981" s="21"/>
      <c r="C981" s="21"/>
      <c r="D981" s="21"/>
      <c r="E981" s="18">
        <v>8.0</v>
      </c>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21"/>
      <c r="BA981" s="21"/>
      <c r="BB981" s="21"/>
      <c r="BC981" s="21"/>
      <c r="BD981" s="18">
        <v>8.0</v>
      </c>
      <c r="BE981" s="18">
        <v>8.0</v>
      </c>
      <c r="BF981" s="18">
        <v>8.0</v>
      </c>
      <c r="BG981" s="18">
        <v>9.0</v>
      </c>
      <c r="BH981" s="21"/>
      <c r="BI981" s="21"/>
      <c r="BJ981" s="21"/>
      <c r="BK981" s="10"/>
    </row>
    <row r="982">
      <c r="A982" s="21"/>
      <c r="B982" s="21"/>
      <c r="C982" s="21"/>
      <c r="D982" s="21"/>
      <c r="E982" s="18">
        <v>9.0</v>
      </c>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21"/>
      <c r="BA982" s="21"/>
      <c r="BB982" s="21"/>
      <c r="BC982" s="21"/>
      <c r="BD982" s="18">
        <v>9.0</v>
      </c>
      <c r="BE982" s="18">
        <v>9.0</v>
      </c>
      <c r="BF982" s="18">
        <v>9.0</v>
      </c>
      <c r="BG982" s="18">
        <v>9.0</v>
      </c>
      <c r="BH982" s="21"/>
      <c r="BI982" s="21"/>
      <c r="BJ982" s="21"/>
      <c r="BK982" s="10"/>
    </row>
    <row r="983">
      <c r="A983" s="21"/>
      <c r="B983" s="21"/>
      <c r="C983" s="21"/>
      <c r="D983" s="21"/>
      <c r="E983" s="18">
        <v>10.0</v>
      </c>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21"/>
      <c r="BA983" s="21"/>
      <c r="BB983" s="21"/>
      <c r="BC983" s="21"/>
      <c r="BD983" s="18">
        <v>10.0</v>
      </c>
      <c r="BE983" s="18">
        <v>10.0</v>
      </c>
      <c r="BF983" s="18">
        <v>10.0</v>
      </c>
      <c r="BG983" s="18">
        <v>10.0</v>
      </c>
      <c r="BH983" s="21"/>
      <c r="BI983" s="21"/>
      <c r="BJ983" s="21"/>
      <c r="BK983" s="10"/>
    </row>
    <row r="984">
      <c r="A984" s="21"/>
      <c r="B984" s="21"/>
      <c r="C984" s="21"/>
      <c r="D984" s="21"/>
      <c r="E984" s="18">
        <v>11.0</v>
      </c>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21"/>
      <c r="BA984" s="21"/>
      <c r="BB984" s="21"/>
      <c r="BC984" s="21"/>
      <c r="BD984" s="18">
        <v>11.0</v>
      </c>
      <c r="BE984" s="18">
        <v>11.0</v>
      </c>
      <c r="BF984" s="18">
        <v>11.0</v>
      </c>
      <c r="BG984" s="18">
        <v>11.0</v>
      </c>
      <c r="BH984" s="21"/>
      <c r="BI984" s="21"/>
      <c r="BJ984" s="21"/>
      <c r="BK984" s="10"/>
    </row>
    <row r="985">
      <c r="A985" s="21"/>
      <c r="B985" s="21"/>
      <c r="C985" s="21"/>
      <c r="D985" s="21"/>
      <c r="E985" s="18">
        <v>12.0</v>
      </c>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21"/>
      <c r="BA985" s="21"/>
      <c r="BB985" s="21"/>
      <c r="BC985" s="21"/>
      <c r="BD985" s="18">
        <v>12.0</v>
      </c>
      <c r="BE985" s="18">
        <v>12.0</v>
      </c>
      <c r="BF985" s="18">
        <v>12.0</v>
      </c>
      <c r="BG985" s="18">
        <v>12.0</v>
      </c>
      <c r="BH985" s="21"/>
      <c r="BI985" s="21"/>
      <c r="BJ985" s="21"/>
      <c r="BK985" s="10"/>
    </row>
    <row r="986">
      <c r="A986" s="22"/>
      <c r="B986" s="22"/>
      <c r="C986" s="22"/>
      <c r="D986" s="22"/>
      <c r="E986" s="18">
        <v>13.0</v>
      </c>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c r="BB986" s="22"/>
      <c r="BC986" s="22"/>
      <c r="BD986" s="18">
        <v>13.0</v>
      </c>
      <c r="BE986" s="18">
        <v>13.0</v>
      </c>
      <c r="BF986" s="18">
        <v>13.0</v>
      </c>
      <c r="BG986" s="18">
        <v>13.0</v>
      </c>
      <c r="BH986" s="22"/>
      <c r="BI986" s="22"/>
      <c r="BJ986" s="22"/>
      <c r="BK986" s="10"/>
    </row>
    <row r="987">
      <c r="A987" s="16" t="s">
        <v>397</v>
      </c>
      <c r="B987" s="30" t="s">
        <v>131</v>
      </c>
      <c r="C987" s="16" t="s">
        <v>84</v>
      </c>
      <c r="D987" s="16">
        <v>3.0</v>
      </c>
      <c r="E987" s="18">
        <v>6.0</v>
      </c>
      <c r="F987" s="16" t="s">
        <v>85</v>
      </c>
      <c r="G987" s="16" t="s">
        <v>85</v>
      </c>
      <c r="H987" s="16" t="s">
        <v>85</v>
      </c>
      <c r="I987" s="16" t="s">
        <v>85</v>
      </c>
      <c r="J987" s="16" t="s">
        <v>85</v>
      </c>
      <c r="K987" s="16" t="s">
        <v>85</v>
      </c>
      <c r="L987" s="16" t="s">
        <v>85</v>
      </c>
      <c r="M987" s="16" t="s">
        <v>85</v>
      </c>
      <c r="N987" s="16" t="s">
        <v>85</v>
      </c>
      <c r="O987" s="16" t="s">
        <v>85</v>
      </c>
      <c r="P987" s="16" t="s">
        <v>85</v>
      </c>
      <c r="Q987" s="18">
        <v>106.0</v>
      </c>
      <c r="R987" s="16" t="s">
        <v>85</v>
      </c>
      <c r="S987" s="18">
        <v>19.0</v>
      </c>
      <c r="T987" s="16" t="s">
        <v>85</v>
      </c>
      <c r="U987" s="16" t="s">
        <v>85</v>
      </c>
      <c r="V987" s="16" t="s">
        <v>85</v>
      </c>
      <c r="W987" s="16" t="s">
        <v>85</v>
      </c>
      <c r="X987" s="16" t="s">
        <v>85</v>
      </c>
      <c r="Y987" s="16" t="s">
        <v>85</v>
      </c>
      <c r="Z987" s="16" t="s">
        <v>85</v>
      </c>
      <c r="AA987" s="16" t="s">
        <v>85</v>
      </c>
      <c r="AB987" s="16" t="s">
        <v>85</v>
      </c>
      <c r="AC987" s="16" t="s">
        <v>85</v>
      </c>
      <c r="AD987" s="16" t="s">
        <v>85</v>
      </c>
      <c r="AE987" s="16" t="s">
        <v>85</v>
      </c>
      <c r="AF987" s="16" t="s">
        <v>85</v>
      </c>
      <c r="AG987" s="16" t="s">
        <v>85</v>
      </c>
      <c r="AH987" s="16" t="s">
        <v>85</v>
      </c>
      <c r="AI987" s="16" t="s">
        <v>85</v>
      </c>
      <c r="AJ987" s="16" t="s">
        <v>85</v>
      </c>
      <c r="AK987" s="16" t="s">
        <v>85</v>
      </c>
      <c r="AL987" s="16" t="s">
        <v>85</v>
      </c>
      <c r="AM987" s="16" t="s">
        <v>85</v>
      </c>
      <c r="AN987" s="16" t="s">
        <v>85</v>
      </c>
      <c r="AO987" s="16" t="s">
        <v>85</v>
      </c>
      <c r="AP987" s="16" t="s">
        <v>85</v>
      </c>
      <c r="AQ987" s="16" t="s">
        <v>85</v>
      </c>
      <c r="AR987" s="16" t="s">
        <v>88</v>
      </c>
      <c r="AS987" s="16" t="s">
        <v>85</v>
      </c>
      <c r="AT987" s="16" t="s">
        <v>85</v>
      </c>
      <c r="AU987" s="16" t="s">
        <v>85</v>
      </c>
      <c r="AV987" s="16" t="s">
        <v>85</v>
      </c>
      <c r="AW987" s="16" t="s">
        <v>85</v>
      </c>
      <c r="AX987" s="16" t="s">
        <v>85</v>
      </c>
      <c r="AY987" s="16" t="s">
        <v>85</v>
      </c>
      <c r="AZ987" s="16" t="s">
        <v>85</v>
      </c>
      <c r="BA987" s="16" t="s">
        <v>85</v>
      </c>
      <c r="BB987" s="16" t="s">
        <v>85</v>
      </c>
      <c r="BC987" s="16" t="s">
        <v>85</v>
      </c>
      <c r="BD987" s="16" t="s">
        <v>85</v>
      </c>
      <c r="BE987" s="16" t="s">
        <v>85</v>
      </c>
      <c r="BF987" s="16" t="s">
        <v>85</v>
      </c>
      <c r="BG987" s="16" t="s">
        <v>85</v>
      </c>
      <c r="BH987" s="16" t="s">
        <v>85</v>
      </c>
      <c r="BI987" s="16" t="s">
        <v>85</v>
      </c>
      <c r="BJ987" s="16">
        <v>5.5</v>
      </c>
      <c r="BK987" s="10"/>
    </row>
    <row r="988">
      <c r="A988" s="21"/>
      <c r="B988" s="21"/>
      <c r="C988" s="21"/>
      <c r="D988" s="21"/>
      <c r="E988" s="18">
        <v>7.0</v>
      </c>
      <c r="F988" s="21"/>
      <c r="G988" s="21"/>
      <c r="H988" s="21"/>
      <c r="I988" s="21"/>
      <c r="J988" s="21"/>
      <c r="K988" s="21"/>
      <c r="L988" s="21"/>
      <c r="M988" s="21"/>
      <c r="N988" s="21"/>
      <c r="O988" s="21"/>
      <c r="P988" s="21"/>
      <c r="Q988" s="18">
        <v>116.0</v>
      </c>
      <c r="R988" s="21"/>
      <c r="S988" s="18">
        <v>20.0</v>
      </c>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21"/>
      <c r="BA988" s="21"/>
      <c r="BB988" s="21"/>
      <c r="BC988" s="21"/>
      <c r="BD988" s="21"/>
      <c r="BE988" s="21"/>
      <c r="BF988" s="21"/>
      <c r="BG988" s="21"/>
      <c r="BH988" s="21"/>
      <c r="BI988" s="21"/>
      <c r="BJ988" s="21"/>
      <c r="BK988" s="10"/>
    </row>
    <row r="989">
      <c r="A989" s="21"/>
      <c r="B989" s="21"/>
      <c r="C989" s="21"/>
      <c r="D989" s="21"/>
      <c r="E989" s="18">
        <v>8.0</v>
      </c>
      <c r="F989" s="21"/>
      <c r="G989" s="21"/>
      <c r="H989" s="21"/>
      <c r="I989" s="21"/>
      <c r="J989" s="21"/>
      <c r="K989" s="21"/>
      <c r="L989" s="21"/>
      <c r="M989" s="21"/>
      <c r="N989" s="21"/>
      <c r="O989" s="21"/>
      <c r="P989" s="21"/>
      <c r="Q989" s="18">
        <v>128.0</v>
      </c>
      <c r="R989" s="21"/>
      <c r="S989" s="18">
        <v>22.0</v>
      </c>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21"/>
      <c r="BA989" s="21"/>
      <c r="BB989" s="21"/>
      <c r="BC989" s="21"/>
      <c r="BD989" s="21"/>
      <c r="BE989" s="21"/>
      <c r="BF989" s="21"/>
      <c r="BG989" s="21"/>
      <c r="BH989" s="21"/>
      <c r="BI989" s="21"/>
      <c r="BJ989" s="21"/>
      <c r="BK989" s="10"/>
    </row>
    <row r="990">
      <c r="A990" s="21"/>
      <c r="B990" s="21"/>
      <c r="C990" s="21"/>
      <c r="D990" s="21"/>
      <c r="E990" s="18">
        <v>9.0</v>
      </c>
      <c r="F990" s="21"/>
      <c r="G990" s="21"/>
      <c r="H990" s="21"/>
      <c r="I990" s="21"/>
      <c r="J990" s="21"/>
      <c r="K990" s="21"/>
      <c r="L990" s="21"/>
      <c r="M990" s="21"/>
      <c r="N990" s="21"/>
      <c r="O990" s="21"/>
      <c r="P990" s="21"/>
      <c r="Q990" s="18">
        <v>140.0</v>
      </c>
      <c r="R990" s="21"/>
      <c r="S990" s="18">
        <v>24.0</v>
      </c>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21"/>
      <c r="BA990" s="21"/>
      <c r="BB990" s="21"/>
      <c r="BC990" s="21"/>
      <c r="BD990" s="21"/>
      <c r="BE990" s="21"/>
      <c r="BF990" s="21"/>
      <c r="BG990" s="21"/>
      <c r="BH990" s="21"/>
      <c r="BI990" s="21"/>
      <c r="BJ990" s="21"/>
      <c r="BK990" s="10"/>
    </row>
    <row r="991">
      <c r="A991" s="21"/>
      <c r="B991" s="21"/>
      <c r="C991" s="21"/>
      <c r="D991" s="21"/>
      <c r="E991" s="18">
        <v>10.0</v>
      </c>
      <c r="F991" s="21"/>
      <c r="G991" s="21"/>
      <c r="H991" s="21"/>
      <c r="I991" s="21"/>
      <c r="J991" s="21"/>
      <c r="K991" s="21"/>
      <c r="L991" s="21"/>
      <c r="M991" s="21"/>
      <c r="N991" s="21"/>
      <c r="O991" s="21"/>
      <c r="P991" s="21"/>
      <c r="Q991" s="18">
        <v>154.0</v>
      </c>
      <c r="R991" s="21"/>
      <c r="S991" s="18">
        <v>27.0</v>
      </c>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21"/>
      <c r="BA991" s="21"/>
      <c r="BB991" s="21"/>
      <c r="BC991" s="21"/>
      <c r="BD991" s="21"/>
      <c r="BE991" s="21"/>
      <c r="BF991" s="21"/>
      <c r="BG991" s="21"/>
      <c r="BH991" s="21"/>
      <c r="BI991" s="21"/>
      <c r="BJ991" s="21"/>
      <c r="BK991" s="10"/>
    </row>
    <row r="992">
      <c r="A992" s="21"/>
      <c r="B992" s="21"/>
      <c r="C992" s="21"/>
      <c r="D992" s="21"/>
      <c r="E992" s="18">
        <v>11.0</v>
      </c>
      <c r="F992" s="21"/>
      <c r="G992" s="21"/>
      <c r="H992" s="21"/>
      <c r="I992" s="21"/>
      <c r="J992" s="21"/>
      <c r="K992" s="21"/>
      <c r="L992" s="21"/>
      <c r="M992" s="21"/>
      <c r="N992" s="21"/>
      <c r="O992" s="21"/>
      <c r="P992" s="21"/>
      <c r="Q992" s="18">
        <v>168.0</v>
      </c>
      <c r="R992" s="21"/>
      <c r="S992" s="18">
        <v>29.0</v>
      </c>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21"/>
      <c r="BA992" s="21"/>
      <c r="BB992" s="21"/>
      <c r="BC992" s="21"/>
      <c r="BD992" s="21"/>
      <c r="BE992" s="21"/>
      <c r="BF992" s="21"/>
      <c r="BG992" s="21"/>
      <c r="BH992" s="21"/>
      <c r="BI992" s="21"/>
      <c r="BJ992" s="21"/>
      <c r="BK992" s="10"/>
    </row>
    <row r="993">
      <c r="A993" s="21"/>
      <c r="B993" s="21"/>
      <c r="C993" s="21"/>
      <c r="D993" s="21"/>
      <c r="E993" s="18">
        <v>12.0</v>
      </c>
      <c r="F993" s="21"/>
      <c r="G993" s="21"/>
      <c r="H993" s="21"/>
      <c r="I993" s="21"/>
      <c r="J993" s="21"/>
      <c r="K993" s="21"/>
      <c r="L993" s="21"/>
      <c r="M993" s="21"/>
      <c r="N993" s="21"/>
      <c r="O993" s="21"/>
      <c r="P993" s="21"/>
      <c r="Q993" s="18">
        <v>186.0</v>
      </c>
      <c r="R993" s="21"/>
      <c r="S993" s="18">
        <v>32.0</v>
      </c>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21"/>
      <c r="BA993" s="21"/>
      <c r="BB993" s="21"/>
      <c r="BC993" s="21"/>
      <c r="BD993" s="21"/>
      <c r="BE993" s="21"/>
      <c r="BF993" s="21"/>
      <c r="BG993" s="21"/>
      <c r="BH993" s="21"/>
      <c r="BI993" s="21"/>
      <c r="BJ993" s="21"/>
      <c r="BK993" s="10"/>
    </row>
    <row r="994">
      <c r="A994" s="22"/>
      <c r="B994" s="22"/>
      <c r="C994" s="22"/>
      <c r="D994" s="22"/>
      <c r="E994" s="18">
        <v>13.0</v>
      </c>
      <c r="F994" s="22"/>
      <c r="G994" s="22"/>
      <c r="H994" s="22"/>
      <c r="I994" s="22"/>
      <c r="J994" s="22"/>
      <c r="K994" s="22"/>
      <c r="L994" s="22"/>
      <c r="M994" s="22"/>
      <c r="N994" s="22"/>
      <c r="O994" s="22"/>
      <c r="P994" s="22"/>
      <c r="Q994" s="18">
        <v>204.0</v>
      </c>
      <c r="R994" s="22"/>
      <c r="S994" s="18">
        <v>35.0</v>
      </c>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c r="BK994" s="10"/>
    </row>
    <row r="995">
      <c r="A995" s="16" t="s">
        <v>398</v>
      </c>
      <c r="B995" s="30" t="s">
        <v>131</v>
      </c>
      <c r="C995" s="16" t="s">
        <v>87</v>
      </c>
      <c r="D995" s="16">
        <v>5.0</v>
      </c>
      <c r="E995" s="18">
        <v>6.0</v>
      </c>
      <c r="F995" s="18">
        <v>133.0</v>
      </c>
      <c r="G995" s="16" t="s">
        <v>85</v>
      </c>
      <c r="H995" s="16" t="s">
        <v>85</v>
      </c>
      <c r="I995" s="16" t="s">
        <v>85</v>
      </c>
      <c r="J995" s="16" t="s">
        <v>85</v>
      </c>
      <c r="K995" s="16" t="s">
        <v>85</v>
      </c>
      <c r="L995" s="16" t="s">
        <v>85</v>
      </c>
      <c r="M995" s="16" t="s">
        <v>85</v>
      </c>
      <c r="N995" s="16" t="s">
        <v>85</v>
      </c>
      <c r="O995" s="16" t="s">
        <v>85</v>
      </c>
      <c r="P995" s="16" t="s">
        <v>85</v>
      </c>
      <c r="Q995" s="18">
        <v>133.0</v>
      </c>
      <c r="R995" s="16" t="s">
        <v>85</v>
      </c>
      <c r="S995" s="16" t="s">
        <v>85</v>
      </c>
      <c r="T995" s="18">
        <v>558.0</v>
      </c>
      <c r="U995" s="18">
        <v>558.0</v>
      </c>
      <c r="V995" s="16" t="s">
        <v>85</v>
      </c>
      <c r="W995" s="16" t="s">
        <v>85</v>
      </c>
      <c r="X995" s="16" t="s">
        <v>85</v>
      </c>
      <c r="Y995" s="16" t="s">
        <v>85</v>
      </c>
      <c r="Z995" s="16" t="s">
        <v>85</v>
      </c>
      <c r="AA995" s="16" t="s">
        <v>85</v>
      </c>
      <c r="AB995" s="16" t="s">
        <v>85</v>
      </c>
      <c r="AC995" s="16" t="s">
        <v>85</v>
      </c>
      <c r="AD995" s="16" t="s">
        <v>85</v>
      </c>
      <c r="AE995" s="16" t="s">
        <v>88</v>
      </c>
      <c r="AF995" s="16" t="s">
        <v>98</v>
      </c>
      <c r="AG995" s="16" t="s">
        <v>95</v>
      </c>
      <c r="AH995" s="16" t="s">
        <v>85</v>
      </c>
      <c r="AI995" s="16">
        <v>5.5</v>
      </c>
      <c r="AJ995" s="16" t="s">
        <v>85</v>
      </c>
      <c r="AK995" s="16" t="s">
        <v>85</v>
      </c>
      <c r="AL995" s="16" t="s">
        <v>85</v>
      </c>
      <c r="AM995" s="16" t="s">
        <v>85</v>
      </c>
      <c r="AN995" s="16" t="s">
        <v>85</v>
      </c>
      <c r="AO995" s="16" t="s">
        <v>85</v>
      </c>
      <c r="AP995" s="16" t="s">
        <v>85</v>
      </c>
      <c r="AQ995" s="16" t="s">
        <v>85</v>
      </c>
      <c r="AR995" s="16" t="s">
        <v>85</v>
      </c>
      <c r="AS995" s="16" t="s">
        <v>85</v>
      </c>
      <c r="AT995" s="16" t="s">
        <v>85</v>
      </c>
      <c r="AU995" s="16" t="s">
        <v>85</v>
      </c>
      <c r="AV995" s="16" t="s">
        <v>85</v>
      </c>
      <c r="AW995" s="16" t="s">
        <v>85</v>
      </c>
      <c r="AX995" s="16" t="s">
        <v>85</v>
      </c>
      <c r="AY995" s="16" t="s">
        <v>85</v>
      </c>
      <c r="AZ995" s="16" t="s">
        <v>85</v>
      </c>
      <c r="BA995" s="16" t="s">
        <v>85</v>
      </c>
      <c r="BB995" s="16" t="s">
        <v>85</v>
      </c>
      <c r="BC995" s="16" t="s">
        <v>85</v>
      </c>
      <c r="BD995" s="16" t="s">
        <v>85</v>
      </c>
      <c r="BE995" s="16" t="s">
        <v>85</v>
      </c>
      <c r="BF995" s="16" t="s">
        <v>85</v>
      </c>
      <c r="BG995" s="16" t="s">
        <v>85</v>
      </c>
      <c r="BH995" s="16" t="s">
        <v>85</v>
      </c>
      <c r="BI995" s="16" t="s">
        <v>85</v>
      </c>
      <c r="BJ995" s="16" t="s">
        <v>85</v>
      </c>
      <c r="BK995" s="10"/>
    </row>
    <row r="996">
      <c r="A996" s="21"/>
      <c r="B996" s="21"/>
      <c r="C996" s="21"/>
      <c r="D996" s="21"/>
      <c r="E996" s="18">
        <v>7.0</v>
      </c>
      <c r="F996" s="19">
        <v>146.0</v>
      </c>
      <c r="G996" s="21"/>
      <c r="H996" s="21"/>
      <c r="I996" s="21"/>
      <c r="J996" s="21"/>
      <c r="K996" s="21"/>
      <c r="L996" s="21"/>
      <c r="M996" s="21"/>
      <c r="N996" s="21"/>
      <c r="O996" s="21"/>
      <c r="P996" s="21"/>
      <c r="Q996" s="19">
        <v>146.0</v>
      </c>
      <c r="R996" s="21"/>
      <c r="S996" s="21"/>
      <c r="T996" s="19">
        <v>613.0</v>
      </c>
      <c r="U996" s="19">
        <v>613.0</v>
      </c>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21"/>
      <c r="BA996" s="21"/>
      <c r="BB996" s="21"/>
      <c r="BC996" s="21"/>
      <c r="BD996" s="21"/>
      <c r="BE996" s="21"/>
      <c r="BF996" s="21"/>
      <c r="BG996" s="21"/>
      <c r="BH996" s="21"/>
      <c r="BI996" s="21"/>
      <c r="BJ996" s="21"/>
      <c r="BK996" s="10"/>
    </row>
    <row r="997">
      <c r="A997" s="21"/>
      <c r="B997" s="21"/>
      <c r="C997" s="21"/>
      <c r="D997" s="21"/>
      <c r="E997" s="18">
        <v>8.0</v>
      </c>
      <c r="F997" s="19">
        <v>160.0</v>
      </c>
      <c r="G997" s="21"/>
      <c r="H997" s="21"/>
      <c r="I997" s="21"/>
      <c r="J997" s="21"/>
      <c r="K997" s="21"/>
      <c r="L997" s="21"/>
      <c r="M997" s="21"/>
      <c r="N997" s="21"/>
      <c r="O997" s="21"/>
      <c r="P997" s="21"/>
      <c r="Q997" s="19">
        <v>160.0</v>
      </c>
      <c r="R997" s="21"/>
      <c r="S997" s="21"/>
      <c r="T997" s="19">
        <v>675.0</v>
      </c>
      <c r="U997" s="19">
        <v>675.0</v>
      </c>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21"/>
      <c r="BA997" s="21"/>
      <c r="BB997" s="21"/>
      <c r="BC997" s="21"/>
      <c r="BD997" s="21"/>
      <c r="BE997" s="21"/>
      <c r="BF997" s="21"/>
      <c r="BG997" s="21"/>
      <c r="BH997" s="21"/>
      <c r="BI997" s="21"/>
      <c r="BJ997" s="21"/>
      <c r="BK997" s="10"/>
    </row>
    <row r="998">
      <c r="A998" s="21"/>
      <c r="B998" s="21"/>
      <c r="C998" s="21"/>
      <c r="D998" s="21"/>
      <c r="E998" s="18">
        <v>9.0</v>
      </c>
      <c r="F998" s="19">
        <v>176.0</v>
      </c>
      <c r="G998" s="21"/>
      <c r="H998" s="21"/>
      <c r="I998" s="21"/>
      <c r="J998" s="21"/>
      <c r="K998" s="21"/>
      <c r="L998" s="21"/>
      <c r="M998" s="21"/>
      <c r="N998" s="21"/>
      <c r="O998" s="21"/>
      <c r="P998" s="21"/>
      <c r="Q998" s="19">
        <v>176.0</v>
      </c>
      <c r="R998" s="21"/>
      <c r="S998" s="21"/>
      <c r="T998" s="19">
        <v>742.0</v>
      </c>
      <c r="U998" s="19">
        <v>742.0</v>
      </c>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c r="AX998" s="21"/>
      <c r="AY998" s="21"/>
      <c r="AZ998" s="21"/>
      <c r="BA998" s="21"/>
      <c r="BB998" s="21"/>
      <c r="BC998" s="21"/>
      <c r="BD998" s="21"/>
      <c r="BE998" s="21"/>
      <c r="BF998" s="21"/>
      <c r="BG998" s="21"/>
      <c r="BH998" s="21"/>
      <c r="BI998" s="21"/>
      <c r="BJ998" s="21"/>
      <c r="BK998" s="10"/>
    </row>
    <row r="999">
      <c r="A999" s="21"/>
      <c r="B999" s="21"/>
      <c r="C999" s="21"/>
      <c r="D999" s="21"/>
      <c r="E999" s="18">
        <v>10.0</v>
      </c>
      <c r="F999" s="19">
        <v>194.0</v>
      </c>
      <c r="G999" s="21"/>
      <c r="H999" s="21"/>
      <c r="I999" s="21"/>
      <c r="J999" s="21"/>
      <c r="K999" s="21"/>
      <c r="L999" s="21"/>
      <c r="M999" s="21"/>
      <c r="N999" s="21"/>
      <c r="O999" s="21"/>
      <c r="P999" s="21"/>
      <c r="Q999" s="19">
        <v>194.0</v>
      </c>
      <c r="R999" s="21"/>
      <c r="S999" s="21"/>
      <c r="T999" s="19">
        <v>814.0</v>
      </c>
      <c r="U999" s="19">
        <v>814.0</v>
      </c>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c r="AX999" s="21"/>
      <c r="AY999" s="21"/>
      <c r="AZ999" s="21"/>
      <c r="BA999" s="21"/>
      <c r="BB999" s="21"/>
      <c r="BC999" s="21"/>
      <c r="BD999" s="21"/>
      <c r="BE999" s="21"/>
      <c r="BF999" s="21"/>
      <c r="BG999" s="21"/>
      <c r="BH999" s="21"/>
      <c r="BI999" s="21"/>
      <c r="BJ999" s="21"/>
      <c r="BK999" s="10"/>
    </row>
    <row r="1000">
      <c r="A1000" s="21"/>
      <c r="B1000" s="21"/>
      <c r="C1000" s="21"/>
      <c r="D1000" s="21"/>
      <c r="E1000" s="18">
        <v>11.0</v>
      </c>
      <c r="F1000" s="19">
        <v>212.0</v>
      </c>
      <c r="G1000" s="21"/>
      <c r="H1000" s="21"/>
      <c r="I1000" s="21"/>
      <c r="J1000" s="21"/>
      <c r="K1000" s="21"/>
      <c r="L1000" s="21"/>
      <c r="M1000" s="21"/>
      <c r="N1000" s="21"/>
      <c r="O1000" s="21"/>
      <c r="P1000" s="21"/>
      <c r="Q1000" s="19">
        <v>212.0</v>
      </c>
      <c r="R1000" s="21"/>
      <c r="S1000" s="21"/>
      <c r="T1000" s="19">
        <v>892.0</v>
      </c>
      <c r="U1000" s="19">
        <v>892.0</v>
      </c>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c r="BA1000" s="21"/>
      <c r="BB1000" s="21"/>
      <c r="BC1000" s="21"/>
      <c r="BD1000" s="21"/>
      <c r="BE1000" s="21"/>
      <c r="BF1000" s="21"/>
      <c r="BG1000" s="21"/>
      <c r="BH1000" s="21"/>
      <c r="BI1000" s="21"/>
      <c r="BJ1000" s="21"/>
      <c r="BK1000" s="10"/>
    </row>
    <row r="1001">
      <c r="A1001" s="21"/>
      <c r="B1001" s="21"/>
      <c r="C1001" s="21"/>
      <c r="D1001" s="21"/>
      <c r="E1001" s="18">
        <v>12.0</v>
      </c>
      <c r="F1001" s="19">
        <v>234.0</v>
      </c>
      <c r="G1001" s="21"/>
      <c r="H1001" s="21"/>
      <c r="I1001" s="21"/>
      <c r="J1001" s="21"/>
      <c r="K1001" s="21"/>
      <c r="L1001" s="21"/>
      <c r="M1001" s="21"/>
      <c r="N1001" s="21"/>
      <c r="O1001" s="21"/>
      <c r="P1001" s="21"/>
      <c r="Q1001" s="19">
        <v>234.0</v>
      </c>
      <c r="R1001" s="21"/>
      <c r="S1001" s="21"/>
      <c r="T1001" s="19">
        <v>982.0</v>
      </c>
      <c r="U1001" s="19">
        <v>982.0</v>
      </c>
      <c r="V1001" s="21"/>
      <c r="W1001" s="21"/>
      <c r="X1001" s="21"/>
      <c r="Y1001" s="21"/>
      <c r="Z1001" s="21"/>
      <c r="AA1001" s="21"/>
      <c r="AB1001" s="21"/>
      <c r="AC1001" s="21"/>
      <c r="AD1001" s="21"/>
      <c r="AE1001" s="21"/>
      <c r="AF1001" s="21"/>
      <c r="AG1001" s="21"/>
      <c r="AH1001" s="21"/>
      <c r="AI1001" s="21"/>
      <c r="AJ1001" s="21"/>
      <c r="AK1001" s="21"/>
      <c r="AL1001" s="21"/>
      <c r="AM1001" s="21"/>
      <c r="AN1001" s="21"/>
      <c r="AO1001" s="21"/>
      <c r="AP1001" s="21"/>
      <c r="AQ1001" s="21"/>
      <c r="AR1001" s="21"/>
      <c r="AS1001" s="21"/>
      <c r="AT1001" s="21"/>
      <c r="AU1001" s="21"/>
      <c r="AV1001" s="21"/>
      <c r="AW1001" s="21"/>
      <c r="AX1001" s="21"/>
      <c r="AY1001" s="21"/>
      <c r="AZ1001" s="21"/>
      <c r="BA1001" s="21"/>
      <c r="BB1001" s="21"/>
      <c r="BC1001" s="21"/>
      <c r="BD1001" s="21"/>
      <c r="BE1001" s="21"/>
      <c r="BF1001" s="21"/>
      <c r="BG1001" s="21"/>
      <c r="BH1001" s="21"/>
      <c r="BI1001" s="21"/>
      <c r="BJ1001" s="21"/>
      <c r="BK1001" s="10"/>
    </row>
    <row r="1002">
      <c r="A1002" s="22"/>
      <c r="B1002" s="22"/>
      <c r="C1002" s="22"/>
      <c r="D1002" s="22"/>
      <c r="E1002" s="18">
        <v>13.0</v>
      </c>
      <c r="F1002" s="19">
        <v>256.0</v>
      </c>
      <c r="G1002" s="22"/>
      <c r="H1002" s="22"/>
      <c r="I1002" s="22"/>
      <c r="J1002" s="22"/>
      <c r="K1002" s="22"/>
      <c r="L1002" s="22"/>
      <c r="M1002" s="22"/>
      <c r="N1002" s="22"/>
      <c r="O1002" s="22"/>
      <c r="P1002" s="22"/>
      <c r="Q1002" s="19">
        <v>256.0</v>
      </c>
      <c r="R1002" s="22"/>
      <c r="S1002" s="22"/>
      <c r="T1002" s="19">
        <v>1076.0</v>
      </c>
      <c r="U1002" s="19">
        <v>1076.0</v>
      </c>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AV1002" s="22"/>
      <c r="AW1002" s="22"/>
      <c r="AX1002" s="22"/>
      <c r="AY1002" s="22"/>
      <c r="AZ1002" s="22"/>
      <c r="BA1002" s="22"/>
      <c r="BB1002" s="22"/>
      <c r="BC1002" s="22"/>
      <c r="BD1002" s="22"/>
      <c r="BE1002" s="22"/>
      <c r="BF1002" s="22"/>
      <c r="BG1002" s="22"/>
      <c r="BH1002" s="22"/>
      <c r="BI1002" s="22"/>
      <c r="BJ1002" s="22"/>
      <c r="BK1002" s="10"/>
    </row>
    <row r="1003">
      <c r="A1003" s="16" t="s">
        <v>399</v>
      </c>
      <c r="B1003" s="35" t="s">
        <v>181</v>
      </c>
      <c r="C1003" s="16" t="s">
        <v>87</v>
      </c>
      <c r="D1003" s="16">
        <v>4.0</v>
      </c>
      <c r="E1003" s="18">
        <v>9.0</v>
      </c>
      <c r="F1003" s="18">
        <v>110.0</v>
      </c>
      <c r="G1003" s="16" t="s">
        <v>85</v>
      </c>
      <c r="H1003" s="16" t="s">
        <v>85</v>
      </c>
      <c r="I1003" s="16" t="s">
        <v>85</v>
      </c>
      <c r="J1003" s="16" t="s">
        <v>85</v>
      </c>
      <c r="K1003" s="16" t="s">
        <v>85</v>
      </c>
      <c r="L1003" s="16" t="s">
        <v>85</v>
      </c>
      <c r="M1003" s="16" t="s">
        <v>85</v>
      </c>
      <c r="N1003" s="16" t="s">
        <v>85</v>
      </c>
      <c r="O1003" s="16" t="s">
        <v>85</v>
      </c>
      <c r="P1003" s="16" t="s">
        <v>85</v>
      </c>
      <c r="Q1003" s="19">
        <v>100.0</v>
      </c>
      <c r="R1003" s="16" t="s">
        <v>85</v>
      </c>
      <c r="S1003" s="16" t="s">
        <v>85</v>
      </c>
      <c r="T1003" s="18">
        <v>560.0</v>
      </c>
      <c r="U1003" s="16" t="s">
        <v>85</v>
      </c>
      <c r="V1003" s="16" t="s">
        <v>85</v>
      </c>
      <c r="W1003" s="16" t="s">
        <v>400</v>
      </c>
      <c r="X1003" s="18">
        <v>9.0</v>
      </c>
      <c r="Y1003" s="16" t="s">
        <v>85</v>
      </c>
      <c r="Z1003" s="16" t="s">
        <v>85</v>
      </c>
      <c r="AA1003" s="16" t="s">
        <v>85</v>
      </c>
      <c r="AB1003" s="16" t="s">
        <v>85</v>
      </c>
      <c r="AC1003" s="16" t="s">
        <v>85</v>
      </c>
      <c r="AD1003" s="16" t="s">
        <v>85</v>
      </c>
      <c r="AE1003" s="16" t="s">
        <v>106</v>
      </c>
      <c r="AF1003" s="16" t="s">
        <v>89</v>
      </c>
      <c r="AG1003" s="16" t="s">
        <v>95</v>
      </c>
      <c r="AH1003" s="16" t="s">
        <v>85</v>
      </c>
      <c r="AI1003" s="16">
        <v>5.5</v>
      </c>
      <c r="AJ1003" s="16" t="s">
        <v>85</v>
      </c>
      <c r="AK1003" s="16" t="s">
        <v>85</v>
      </c>
      <c r="AL1003" s="16" t="s">
        <v>85</v>
      </c>
      <c r="AM1003" s="16" t="s">
        <v>85</v>
      </c>
      <c r="AN1003" s="16" t="s">
        <v>85</v>
      </c>
      <c r="AO1003" s="16" t="s">
        <v>85</v>
      </c>
      <c r="AP1003" s="16" t="s">
        <v>85</v>
      </c>
      <c r="AQ1003" s="16" t="s">
        <v>85</v>
      </c>
      <c r="AR1003" s="16" t="s">
        <v>85</v>
      </c>
      <c r="AS1003" s="16" t="s">
        <v>85</v>
      </c>
      <c r="AT1003" s="16" t="s">
        <v>85</v>
      </c>
      <c r="AU1003" s="16" t="s">
        <v>85</v>
      </c>
      <c r="AV1003" s="16" t="s">
        <v>85</v>
      </c>
      <c r="AW1003" s="16" t="s">
        <v>197</v>
      </c>
      <c r="AX1003" s="16" t="s">
        <v>85</v>
      </c>
      <c r="AY1003" s="16" t="s">
        <v>85</v>
      </c>
      <c r="AZ1003" s="16" t="s">
        <v>85</v>
      </c>
      <c r="BA1003" s="16" t="s">
        <v>85</v>
      </c>
      <c r="BB1003" s="16" t="s">
        <v>85</v>
      </c>
      <c r="BC1003" s="16" t="s">
        <v>85</v>
      </c>
      <c r="BD1003" s="16" t="s">
        <v>85</v>
      </c>
      <c r="BE1003" s="16" t="s">
        <v>85</v>
      </c>
      <c r="BF1003" s="16" t="s">
        <v>85</v>
      </c>
      <c r="BG1003" s="16" t="s">
        <v>85</v>
      </c>
      <c r="BH1003" s="16" t="s">
        <v>85</v>
      </c>
      <c r="BI1003" s="16" t="s">
        <v>85</v>
      </c>
      <c r="BJ1003" s="16" t="s">
        <v>85</v>
      </c>
      <c r="BK1003" s="10"/>
    </row>
    <row r="1004">
      <c r="A1004" s="21"/>
      <c r="B1004" s="21"/>
      <c r="C1004" s="21"/>
      <c r="D1004" s="21"/>
      <c r="E1004" s="18">
        <v>10.0</v>
      </c>
      <c r="F1004" s="19">
        <v>121.0</v>
      </c>
      <c r="G1004" s="21"/>
      <c r="H1004" s="21"/>
      <c r="I1004" s="21"/>
      <c r="J1004" s="21"/>
      <c r="K1004" s="21"/>
      <c r="L1004" s="21"/>
      <c r="M1004" s="21"/>
      <c r="N1004" s="21"/>
      <c r="O1004" s="21"/>
      <c r="P1004" s="21"/>
      <c r="Q1004" s="19">
        <v>110.0</v>
      </c>
      <c r="R1004" s="21"/>
      <c r="S1004" s="21"/>
      <c r="T1004" s="19">
        <v>616.0</v>
      </c>
      <c r="U1004" s="21"/>
      <c r="V1004" s="21"/>
      <c r="W1004" s="21"/>
      <c r="X1004" s="18">
        <v>10.0</v>
      </c>
      <c r="Y1004" s="21"/>
      <c r="Z1004" s="21"/>
      <c r="AA1004" s="21"/>
      <c r="AB1004" s="21"/>
      <c r="AC1004" s="21"/>
      <c r="AD1004" s="21"/>
      <c r="AE1004" s="21"/>
      <c r="AF1004" s="21"/>
      <c r="AG1004" s="21"/>
      <c r="AH1004" s="21"/>
      <c r="AI1004" s="21"/>
      <c r="AJ1004" s="21"/>
      <c r="AK1004" s="21"/>
      <c r="AL1004" s="21"/>
      <c r="AM1004" s="21"/>
      <c r="AN1004" s="21"/>
      <c r="AO1004" s="21"/>
      <c r="AP1004" s="21"/>
      <c r="AQ1004" s="21"/>
      <c r="AR1004" s="21"/>
      <c r="AS1004" s="21"/>
      <c r="AT1004" s="21"/>
      <c r="AU1004" s="21"/>
      <c r="AV1004" s="21"/>
      <c r="AW1004" s="21"/>
      <c r="AX1004" s="21"/>
      <c r="AY1004" s="21"/>
      <c r="AZ1004" s="21"/>
      <c r="BA1004" s="21"/>
      <c r="BB1004" s="21"/>
      <c r="BC1004" s="21"/>
      <c r="BD1004" s="21"/>
      <c r="BE1004" s="21"/>
      <c r="BF1004" s="21"/>
      <c r="BG1004" s="21"/>
      <c r="BH1004" s="21"/>
      <c r="BI1004" s="21"/>
      <c r="BJ1004" s="21"/>
      <c r="BK1004" s="10"/>
    </row>
    <row r="1005">
      <c r="A1005" s="21"/>
      <c r="B1005" s="21"/>
      <c r="C1005" s="21"/>
      <c r="D1005" s="21"/>
      <c r="E1005" s="18">
        <v>11.0</v>
      </c>
      <c r="F1005" s="19">
        <v>133.0</v>
      </c>
      <c r="G1005" s="21"/>
      <c r="H1005" s="21"/>
      <c r="I1005" s="21"/>
      <c r="J1005" s="21"/>
      <c r="K1005" s="21"/>
      <c r="L1005" s="21"/>
      <c r="M1005" s="21"/>
      <c r="N1005" s="21"/>
      <c r="O1005" s="21"/>
      <c r="P1005" s="21"/>
      <c r="Q1005" s="19">
        <v>120.0</v>
      </c>
      <c r="R1005" s="21"/>
      <c r="S1005" s="21"/>
      <c r="T1005" s="19">
        <v>677.0</v>
      </c>
      <c r="U1005" s="21"/>
      <c r="V1005" s="21"/>
      <c r="W1005" s="21"/>
      <c r="X1005" s="18">
        <v>11.0</v>
      </c>
      <c r="Y1005" s="21"/>
      <c r="Z1005" s="21"/>
      <c r="AA1005" s="21"/>
      <c r="AB1005" s="21"/>
      <c r="AC1005" s="21"/>
      <c r="AD1005" s="21"/>
      <c r="AE1005" s="21"/>
      <c r="AF1005" s="21"/>
      <c r="AG1005" s="21"/>
      <c r="AH1005" s="21"/>
      <c r="AI1005" s="21"/>
      <c r="AJ1005" s="21"/>
      <c r="AK1005" s="21"/>
      <c r="AL1005" s="21"/>
      <c r="AM1005" s="21"/>
      <c r="AN1005" s="21"/>
      <c r="AO1005" s="21"/>
      <c r="AP1005" s="21"/>
      <c r="AQ1005" s="21"/>
      <c r="AR1005" s="21"/>
      <c r="AS1005" s="21"/>
      <c r="AT1005" s="21"/>
      <c r="AU1005" s="21"/>
      <c r="AV1005" s="21"/>
      <c r="AW1005" s="21"/>
      <c r="AX1005" s="21"/>
      <c r="AY1005" s="21"/>
      <c r="AZ1005" s="21"/>
      <c r="BA1005" s="21"/>
      <c r="BB1005" s="21"/>
      <c r="BC1005" s="21"/>
      <c r="BD1005" s="21"/>
      <c r="BE1005" s="21"/>
      <c r="BF1005" s="21"/>
      <c r="BG1005" s="21"/>
      <c r="BH1005" s="21"/>
      <c r="BI1005" s="21"/>
      <c r="BJ1005" s="21"/>
      <c r="BK1005" s="10"/>
    </row>
    <row r="1006">
      <c r="A1006" s="21"/>
      <c r="B1006" s="21"/>
      <c r="C1006" s="21"/>
      <c r="D1006" s="21"/>
      <c r="E1006" s="18">
        <v>12.0</v>
      </c>
      <c r="F1006" s="19">
        <v>146.0</v>
      </c>
      <c r="G1006" s="21"/>
      <c r="H1006" s="21"/>
      <c r="I1006" s="21"/>
      <c r="J1006" s="21"/>
      <c r="K1006" s="21"/>
      <c r="L1006" s="21"/>
      <c r="M1006" s="21"/>
      <c r="N1006" s="21"/>
      <c r="O1006" s="21"/>
      <c r="P1006" s="21"/>
      <c r="Q1006" s="19">
        <v>132.0</v>
      </c>
      <c r="R1006" s="21"/>
      <c r="S1006" s="21"/>
      <c r="T1006" s="19">
        <v>744.0</v>
      </c>
      <c r="U1006" s="21"/>
      <c r="V1006" s="21"/>
      <c r="W1006" s="21"/>
      <c r="X1006" s="18">
        <v>12.0</v>
      </c>
      <c r="Y1006" s="21"/>
      <c r="Z1006" s="21"/>
      <c r="AA1006" s="21"/>
      <c r="AB1006" s="21"/>
      <c r="AC1006" s="21"/>
      <c r="AD1006" s="21"/>
      <c r="AE1006" s="21"/>
      <c r="AF1006" s="21"/>
      <c r="AG1006" s="21"/>
      <c r="AH1006" s="21"/>
      <c r="AI1006" s="21"/>
      <c r="AJ1006" s="21"/>
      <c r="AK1006" s="21"/>
      <c r="AL1006" s="21"/>
      <c r="AM1006" s="21"/>
      <c r="AN1006" s="21"/>
      <c r="AO1006" s="21"/>
      <c r="AP1006" s="21"/>
      <c r="AQ1006" s="21"/>
      <c r="AR1006" s="21"/>
      <c r="AS1006" s="21"/>
      <c r="AT1006" s="21"/>
      <c r="AU1006" s="21"/>
      <c r="AV1006" s="21"/>
      <c r="AW1006" s="21"/>
      <c r="AX1006" s="21"/>
      <c r="AY1006" s="21"/>
      <c r="AZ1006" s="21"/>
      <c r="BA1006" s="21"/>
      <c r="BB1006" s="21"/>
      <c r="BC1006" s="21"/>
      <c r="BD1006" s="21"/>
      <c r="BE1006" s="21"/>
      <c r="BF1006" s="21"/>
      <c r="BG1006" s="21"/>
      <c r="BH1006" s="21"/>
      <c r="BI1006" s="21"/>
      <c r="BJ1006" s="21"/>
      <c r="BK1006" s="10"/>
    </row>
    <row r="1007">
      <c r="A1007" s="22"/>
      <c r="B1007" s="22"/>
      <c r="C1007" s="22"/>
      <c r="D1007" s="22"/>
      <c r="E1007" s="18">
        <v>13.0</v>
      </c>
      <c r="F1007" s="19">
        <v>160.0</v>
      </c>
      <c r="G1007" s="22"/>
      <c r="H1007" s="22"/>
      <c r="I1007" s="22"/>
      <c r="J1007" s="22"/>
      <c r="K1007" s="22"/>
      <c r="L1007" s="22"/>
      <c r="M1007" s="22"/>
      <c r="N1007" s="22"/>
      <c r="O1007" s="22"/>
      <c r="P1007" s="22"/>
      <c r="Q1007" s="19">
        <v>145.0</v>
      </c>
      <c r="R1007" s="22"/>
      <c r="S1007" s="22"/>
      <c r="T1007" s="19">
        <v>817.0</v>
      </c>
      <c r="U1007" s="22"/>
      <c r="V1007" s="22"/>
      <c r="W1007" s="22"/>
      <c r="X1007" s="18">
        <v>13.0</v>
      </c>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AV1007" s="22"/>
      <c r="AW1007" s="22"/>
      <c r="AX1007" s="22"/>
      <c r="AY1007" s="22"/>
      <c r="AZ1007" s="22"/>
      <c r="BA1007" s="22"/>
      <c r="BB1007" s="22"/>
      <c r="BC1007" s="22"/>
      <c r="BD1007" s="22"/>
      <c r="BE1007" s="22"/>
      <c r="BF1007" s="22"/>
      <c r="BG1007" s="22"/>
      <c r="BH1007" s="22"/>
      <c r="BI1007" s="22"/>
      <c r="BJ1007" s="22"/>
      <c r="BK1007" s="10"/>
    </row>
    <row r="1008">
      <c r="A1008" s="16" t="s">
        <v>401</v>
      </c>
      <c r="B1008" s="35" t="s">
        <v>181</v>
      </c>
      <c r="C1008" s="16" t="s">
        <v>87</v>
      </c>
      <c r="D1008" s="16">
        <v>3.0</v>
      </c>
      <c r="E1008" s="18">
        <v>9.0</v>
      </c>
      <c r="F1008" s="18">
        <v>160.0</v>
      </c>
      <c r="G1008" s="16" t="s">
        <v>85</v>
      </c>
      <c r="H1008" s="43" t="s">
        <v>85</v>
      </c>
      <c r="I1008" s="16" t="s">
        <v>85</v>
      </c>
      <c r="J1008" s="16" t="s">
        <v>85</v>
      </c>
      <c r="K1008" s="16" t="s">
        <v>85</v>
      </c>
      <c r="L1008" s="16" t="s">
        <v>85</v>
      </c>
      <c r="M1008" s="16" t="s">
        <v>85</v>
      </c>
      <c r="N1008" s="16" t="s">
        <v>85</v>
      </c>
      <c r="O1008" s="16" t="s">
        <v>85</v>
      </c>
      <c r="P1008" s="16" t="s">
        <v>85</v>
      </c>
      <c r="Q1008" s="19">
        <v>123.0</v>
      </c>
      <c r="R1008" s="16" t="s">
        <v>85</v>
      </c>
      <c r="S1008" s="16" t="s">
        <v>85</v>
      </c>
      <c r="T1008" s="18">
        <v>720.0</v>
      </c>
      <c r="U1008" s="16" t="s">
        <v>85</v>
      </c>
      <c r="V1008" s="16" t="s">
        <v>85</v>
      </c>
      <c r="W1008" s="16" t="s">
        <v>85</v>
      </c>
      <c r="X1008" s="16" t="s">
        <v>85</v>
      </c>
      <c r="Y1008" s="16" t="s">
        <v>85</v>
      </c>
      <c r="Z1008" s="16" t="s">
        <v>85</v>
      </c>
      <c r="AA1008" s="16" t="s">
        <v>402</v>
      </c>
      <c r="AB1008" s="16" t="s">
        <v>85</v>
      </c>
      <c r="AC1008" s="16" t="s">
        <v>85</v>
      </c>
      <c r="AD1008" s="16" t="s">
        <v>85</v>
      </c>
      <c r="AE1008" s="16" t="s">
        <v>187</v>
      </c>
      <c r="AF1008" s="16" t="s">
        <v>98</v>
      </c>
      <c r="AG1008" s="16" t="s">
        <v>95</v>
      </c>
      <c r="AH1008" s="16" t="s">
        <v>85</v>
      </c>
      <c r="AI1008" s="16" t="s">
        <v>99</v>
      </c>
      <c r="AJ1008" s="16" t="s">
        <v>85</v>
      </c>
      <c r="AK1008" s="16" t="s">
        <v>85</v>
      </c>
      <c r="AL1008" s="16" t="s">
        <v>85</v>
      </c>
      <c r="AM1008" s="16" t="s">
        <v>85</v>
      </c>
      <c r="AN1008" s="16" t="s">
        <v>85</v>
      </c>
      <c r="AO1008" s="16" t="s">
        <v>85</v>
      </c>
      <c r="AP1008" s="16" t="s">
        <v>85</v>
      </c>
      <c r="AQ1008" s="16" t="s">
        <v>85</v>
      </c>
      <c r="AR1008" s="16" t="s">
        <v>85</v>
      </c>
      <c r="AS1008" s="16" t="s">
        <v>85</v>
      </c>
      <c r="AT1008" s="16" t="s">
        <v>85</v>
      </c>
      <c r="AU1008" s="16" t="s">
        <v>85</v>
      </c>
      <c r="AV1008" s="16" t="s">
        <v>85</v>
      </c>
      <c r="AW1008" s="16" t="s">
        <v>85</v>
      </c>
      <c r="AX1008" s="16" t="s">
        <v>85</v>
      </c>
      <c r="AY1008" s="16" t="s">
        <v>85</v>
      </c>
      <c r="AZ1008" s="16" t="s">
        <v>85</v>
      </c>
      <c r="BA1008" s="16" t="s">
        <v>85</v>
      </c>
      <c r="BB1008" s="16" t="s">
        <v>85</v>
      </c>
      <c r="BC1008" s="16" t="s">
        <v>85</v>
      </c>
      <c r="BD1008" s="16" t="s">
        <v>85</v>
      </c>
      <c r="BE1008" s="16" t="s">
        <v>85</v>
      </c>
      <c r="BF1008" s="16" t="s">
        <v>85</v>
      </c>
      <c r="BG1008" s="16" t="s">
        <v>85</v>
      </c>
      <c r="BH1008" s="16" t="s">
        <v>85</v>
      </c>
      <c r="BI1008" s="16" t="s">
        <v>85</v>
      </c>
      <c r="BJ1008" s="16" t="s">
        <v>85</v>
      </c>
      <c r="BK1008" s="10"/>
    </row>
    <row r="1009">
      <c r="A1009" s="21"/>
      <c r="B1009" s="21"/>
      <c r="C1009" s="21"/>
      <c r="D1009" s="21"/>
      <c r="E1009" s="18">
        <v>10.0</v>
      </c>
      <c r="F1009" s="19">
        <v>176.0</v>
      </c>
      <c r="G1009" s="21"/>
      <c r="H1009" s="21"/>
      <c r="I1009" s="21"/>
      <c r="J1009" s="21"/>
      <c r="K1009" s="21"/>
      <c r="L1009" s="21"/>
      <c r="M1009" s="21"/>
      <c r="N1009" s="21"/>
      <c r="O1009" s="21"/>
      <c r="P1009" s="21"/>
      <c r="Q1009" s="19">
        <v>135.0</v>
      </c>
      <c r="R1009" s="21"/>
      <c r="S1009" s="21"/>
      <c r="T1009" s="19">
        <v>792.0</v>
      </c>
      <c r="U1009" s="21"/>
      <c r="V1009" s="21"/>
      <c r="W1009" s="21"/>
      <c r="X1009" s="21"/>
      <c r="Y1009" s="21"/>
      <c r="Z1009" s="21"/>
      <c r="AA1009" s="21"/>
      <c r="AB1009" s="21"/>
      <c r="AC1009" s="21"/>
      <c r="AD1009" s="21"/>
      <c r="AE1009" s="21"/>
      <c r="AF1009" s="21"/>
      <c r="AG1009" s="21"/>
      <c r="AH1009" s="21"/>
      <c r="AI1009" s="21"/>
      <c r="AJ1009" s="21"/>
      <c r="AK1009" s="21"/>
      <c r="AL1009" s="21"/>
      <c r="AM1009" s="21"/>
      <c r="AN1009" s="21"/>
      <c r="AO1009" s="21"/>
      <c r="AP1009" s="21"/>
      <c r="AQ1009" s="21"/>
      <c r="AR1009" s="21"/>
      <c r="AS1009" s="21"/>
      <c r="AT1009" s="21"/>
      <c r="AU1009" s="21"/>
      <c r="AV1009" s="21"/>
      <c r="AW1009" s="21"/>
      <c r="AX1009" s="21"/>
      <c r="AY1009" s="21"/>
      <c r="AZ1009" s="21"/>
      <c r="BA1009" s="21"/>
      <c r="BB1009" s="21"/>
      <c r="BC1009" s="21"/>
      <c r="BD1009" s="21"/>
      <c r="BE1009" s="21"/>
      <c r="BF1009" s="21"/>
      <c r="BG1009" s="21"/>
      <c r="BH1009" s="21"/>
      <c r="BI1009" s="21"/>
      <c r="BJ1009" s="21"/>
      <c r="BK1009" s="10"/>
    </row>
    <row r="1010">
      <c r="A1010" s="21"/>
      <c r="B1010" s="21"/>
      <c r="C1010" s="21"/>
      <c r="D1010" s="21"/>
      <c r="E1010" s="18">
        <v>11.0</v>
      </c>
      <c r="F1010" s="19">
        <v>193.0</v>
      </c>
      <c r="G1010" s="21"/>
      <c r="H1010" s="21"/>
      <c r="I1010" s="21"/>
      <c r="J1010" s="21"/>
      <c r="K1010" s="21"/>
      <c r="L1010" s="21"/>
      <c r="M1010" s="21"/>
      <c r="N1010" s="21"/>
      <c r="O1010" s="21"/>
      <c r="P1010" s="21"/>
      <c r="Q1010" s="19">
        <v>148.0</v>
      </c>
      <c r="R1010" s="21"/>
      <c r="S1010" s="21"/>
      <c r="T1010" s="19">
        <v>871.0</v>
      </c>
      <c r="U1010" s="21"/>
      <c r="V1010" s="21"/>
      <c r="W1010" s="21"/>
      <c r="X1010" s="21"/>
      <c r="Y1010" s="21"/>
      <c r="Z1010" s="21"/>
      <c r="AA1010" s="21"/>
      <c r="AB1010" s="21"/>
      <c r="AC1010" s="21"/>
      <c r="AD1010" s="21"/>
      <c r="AE1010" s="21"/>
      <c r="AF1010" s="21"/>
      <c r="AG1010" s="21"/>
      <c r="AH1010" s="21"/>
      <c r="AI1010" s="21"/>
      <c r="AJ1010" s="21"/>
      <c r="AK1010" s="21"/>
      <c r="AL1010" s="21"/>
      <c r="AM1010" s="21"/>
      <c r="AN1010" s="21"/>
      <c r="AO1010" s="21"/>
      <c r="AP1010" s="21"/>
      <c r="AQ1010" s="21"/>
      <c r="AR1010" s="21"/>
      <c r="AS1010" s="21"/>
      <c r="AT1010" s="21"/>
      <c r="AU1010" s="21"/>
      <c r="AV1010" s="21"/>
      <c r="AW1010" s="21"/>
      <c r="AX1010" s="21"/>
      <c r="AY1010" s="21"/>
      <c r="AZ1010" s="21"/>
      <c r="BA1010" s="21"/>
      <c r="BB1010" s="21"/>
      <c r="BC1010" s="21"/>
      <c r="BD1010" s="21"/>
      <c r="BE1010" s="21"/>
      <c r="BF1010" s="21"/>
      <c r="BG1010" s="21"/>
      <c r="BH1010" s="21"/>
      <c r="BI1010" s="21"/>
      <c r="BJ1010" s="21"/>
      <c r="BK1010" s="10"/>
    </row>
    <row r="1011">
      <c r="A1011" s="21"/>
      <c r="B1011" s="21"/>
      <c r="C1011" s="21"/>
      <c r="D1011" s="21"/>
      <c r="E1011" s="18">
        <v>12.0</v>
      </c>
      <c r="F1011" s="19">
        <v>212.0</v>
      </c>
      <c r="G1011" s="21"/>
      <c r="H1011" s="21"/>
      <c r="I1011" s="21"/>
      <c r="J1011" s="21"/>
      <c r="K1011" s="21"/>
      <c r="L1011" s="21"/>
      <c r="M1011" s="21"/>
      <c r="N1011" s="21"/>
      <c r="O1011" s="21"/>
      <c r="P1011" s="21"/>
      <c r="Q1011" s="19">
        <v>163.0</v>
      </c>
      <c r="R1011" s="21"/>
      <c r="S1011" s="21"/>
      <c r="T1011" s="19">
        <v>957.0</v>
      </c>
      <c r="U1011" s="21"/>
      <c r="V1011" s="21"/>
      <c r="W1011" s="21"/>
      <c r="X1011" s="21"/>
      <c r="Y1011" s="21"/>
      <c r="Z1011" s="21"/>
      <c r="AA1011" s="21"/>
      <c r="AB1011" s="21"/>
      <c r="AC1011" s="21"/>
      <c r="AD1011" s="21"/>
      <c r="AE1011" s="21"/>
      <c r="AF1011" s="21"/>
      <c r="AG1011" s="21"/>
      <c r="AH1011" s="21"/>
      <c r="AI1011" s="21"/>
      <c r="AJ1011" s="21"/>
      <c r="AK1011" s="21"/>
      <c r="AL1011" s="21"/>
      <c r="AM1011" s="21"/>
      <c r="AN1011" s="21"/>
      <c r="AO1011" s="21"/>
      <c r="AP1011" s="21"/>
      <c r="AQ1011" s="21"/>
      <c r="AR1011" s="21"/>
      <c r="AS1011" s="21"/>
      <c r="AT1011" s="21"/>
      <c r="AU1011" s="21"/>
      <c r="AV1011" s="21"/>
      <c r="AW1011" s="21"/>
      <c r="AX1011" s="21"/>
      <c r="AY1011" s="21"/>
      <c r="AZ1011" s="21"/>
      <c r="BA1011" s="21"/>
      <c r="BB1011" s="21"/>
      <c r="BC1011" s="21"/>
      <c r="BD1011" s="21"/>
      <c r="BE1011" s="21"/>
      <c r="BF1011" s="21"/>
      <c r="BG1011" s="21"/>
      <c r="BH1011" s="21"/>
      <c r="BI1011" s="21"/>
      <c r="BJ1011" s="21"/>
      <c r="BK1011" s="10"/>
    </row>
    <row r="1012">
      <c r="A1012" s="22"/>
      <c r="B1012" s="22"/>
      <c r="C1012" s="22"/>
      <c r="D1012" s="22"/>
      <c r="E1012" s="18">
        <v>13.0</v>
      </c>
      <c r="F1012" s="19">
        <v>233.0</v>
      </c>
      <c r="G1012" s="22"/>
      <c r="H1012" s="22"/>
      <c r="I1012" s="22"/>
      <c r="J1012" s="22"/>
      <c r="K1012" s="22"/>
      <c r="L1012" s="22"/>
      <c r="M1012" s="22"/>
      <c r="N1012" s="22"/>
      <c r="O1012" s="22"/>
      <c r="P1012" s="22"/>
      <c r="Q1012" s="19">
        <v>179.0</v>
      </c>
      <c r="R1012" s="22"/>
      <c r="S1012" s="22"/>
      <c r="T1012" s="19">
        <v>1051.0</v>
      </c>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AV1012" s="22"/>
      <c r="AW1012" s="22"/>
      <c r="AX1012" s="22"/>
      <c r="AY1012" s="22"/>
      <c r="AZ1012" s="22"/>
      <c r="BA1012" s="22"/>
      <c r="BB1012" s="22"/>
      <c r="BC1012" s="22"/>
      <c r="BD1012" s="22"/>
      <c r="BE1012" s="22"/>
      <c r="BF1012" s="22"/>
      <c r="BG1012" s="22"/>
      <c r="BH1012" s="22"/>
      <c r="BI1012" s="22"/>
      <c r="BJ1012" s="22"/>
      <c r="BK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c r="AT1013" s="10"/>
      <c r="AU1013" s="10"/>
      <c r="AV1013" s="10"/>
      <c r="AW1013" s="10"/>
      <c r="AX1013" s="10"/>
      <c r="AY1013" s="10"/>
      <c r="AZ1013" s="10"/>
      <c r="BA1013" s="10"/>
      <c r="BB1013" s="10"/>
      <c r="BC1013" s="10"/>
      <c r="BD1013" s="10"/>
      <c r="BE1013" s="10"/>
      <c r="BF1013" s="10"/>
      <c r="BG1013" s="10"/>
      <c r="BH1013" s="10"/>
      <c r="BI1013" s="10"/>
      <c r="BJ1013" s="10"/>
      <c r="BK1013" s="10"/>
    </row>
    <row r="1014">
      <c r="A1014" s="38" t="s">
        <v>403</v>
      </c>
      <c r="B1014" s="14"/>
      <c r="C1014" s="14"/>
      <c r="D1014" s="15"/>
      <c r="E1014" s="11" t="s">
        <v>23</v>
      </c>
      <c r="F1014" s="11" t="s">
        <v>24</v>
      </c>
      <c r="G1014" s="11" t="s">
        <v>25</v>
      </c>
      <c r="H1014" s="11" t="s">
        <v>26</v>
      </c>
      <c r="I1014" s="11" t="s">
        <v>27</v>
      </c>
      <c r="J1014" s="11" t="s">
        <v>28</v>
      </c>
      <c r="K1014" s="11" t="s">
        <v>29</v>
      </c>
      <c r="L1014" s="11" t="s">
        <v>30</v>
      </c>
      <c r="M1014" s="11" t="s">
        <v>31</v>
      </c>
      <c r="N1014" s="11" t="s">
        <v>32</v>
      </c>
      <c r="O1014" s="11" t="s">
        <v>33</v>
      </c>
      <c r="P1014" s="11" t="s">
        <v>34</v>
      </c>
      <c r="Q1014" s="11" t="s">
        <v>35</v>
      </c>
      <c r="R1014" s="11" t="s">
        <v>36</v>
      </c>
      <c r="S1014" s="11" t="s">
        <v>37</v>
      </c>
      <c r="T1014" s="11" t="s">
        <v>38</v>
      </c>
      <c r="U1014" s="11" t="s">
        <v>39</v>
      </c>
      <c r="V1014" s="11" t="s">
        <v>40</v>
      </c>
      <c r="W1014" s="11" t="s">
        <v>41</v>
      </c>
      <c r="X1014" s="11" t="s">
        <v>42</v>
      </c>
      <c r="Y1014" s="11" t="s">
        <v>43</v>
      </c>
      <c r="Z1014" s="11" t="s">
        <v>44</v>
      </c>
      <c r="AA1014" s="11" t="s">
        <v>45</v>
      </c>
      <c r="AB1014" s="11" t="s">
        <v>46</v>
      </c>
      <c r="AC1014" s="11" t="s">
        <v>47</v>
      </c>
      <c r="AD1014" s="11" t="s">
        <v>48</v>
      </c>
      <c r="AE1014" s="11" t="s">
        <v>49</v>
      </c>
      <c r="AF1014" s="11" t="s">
        <v>50</v>
      </c>
      <c r="AG1014" s="11" t="s">
        <v>51</v>
      </c>
      <c r="AH1014" s="11" t="s">
        <v>52</v>
      </c>
      <c r="AI1014" s="11" t="s">
        <v>53</v>
      </c>
      <c r="AJ1014" s="11" t="s">
        <v>54</v>
      </c>
      <c r="AK1014" s="11" t="s">
        <v>55</v>
      </c>
      <c r="AL1014" s="11" t="s">
        <v>56</v>
      </c>
      <c r="AM1014" s="11" t="s">
        <v>57</v>
      </c>
      <c r="AN1014" s="11" t="s">
        <v>58</v>
      </c>
      <c r="AO1014" s="11" t="s">
        <v>59</v>
      </c>
      <c r="AP1014" s="11" t="s">
        <v>60</v>
      </c>
      <c r="AQ1014" s="11" t="s">
        <v>61</v>
      </c>
      <c r="AR1014" s="11" t="s">
        <v>62</v>
      </c>
      <c r="AS1014" s="11" t="s">
        <v>63</v>
      </c>
      <c r="AT1014" s="11" t="s">
        <v>64</v>
      </c>
      <c r="AU1014" s="11" t="s">
        <v>65</v>
      </c>
      <c r="AV1014" s="11" t="s">
        <v>66</v>
      </c>
      <c r="AW1014" s="11" t="s">
        <v>67</v>
      </c>
      <c r="AX1014" s="11" t="s">
        <v>68</v>
      </c>
      <c r="AY1014" s="11" t="s">
        <v>404</v>
      </c>
      <c r="AZ1014" s="11" t="s">
        <v>70</v>
      </c>
      <c r="BA1014" s="11" t="s">
        <v>71</v>
      </c>
      <c r="BB1014" s="11" t="s">
        <v>72</v>
      </c>
      <c r="BC1014" s="11" t="s">
        <v>73</v>
      </c>
      <c r="BD1014" s="11" t="s">
        <v>74</v>
      </c>
      <c r="BE1014" s="11" t="s">
        <v>75</v>
      </c>
      <c r="BF1014" s="11" t="s">
        <v>76</v>
      </c>
      <c r="BG1014" s="11" t="s">
        <v>77</v>
      </c>
      <c r="BH1014" s="11" t="s">
        <v>78</v>
      </c>
      <c r="BI1014" s="11" t="s">
        <v>79</v>
      </c>
      <c r="BJ1014" s="11" t="s">
        <v>80</v>
      </c>
      <c r="BK1014" s="10"/>
    </row>
    <row r="1015">
      <c r="A1015" s="47" t="s">
        <v>405</v>
      </c>
      <c r="B1015" s="48"/>
      <c r="C1015" s="48"/>
      <c r="D1015" s="49"/>
      <c r="E1015" s="32">
        <v>1.0</v>
      </c>
      <c r="F1015" s="18">
        <v>50.0</v>
      </c>
      <c r="G1015" s="16" t="s">
        <v>85</v>
      </c>
      <c r="H1015" s="16" t="s">
        <v>85</v>
      </c>
      <c r="I1015" s="16" t="s">
        <v>85</v>
      </c>
      <c r="J1015" s="16" t="s">
        <v>85</v>
      </c>
      <c r="K1015" s="16" t="s">
        <v>85</v>
      </c>
      <c r="L1015" s="16" t="s">
        <v>85</v>
      </c>
      <c r="M1015" s="16" t="s">
        <v>85</v>
      </c>
      <c r="N1015" s="16" t="s">
        <v>85</v>
      </c>
      <c r="O1015" s="16" t="s">
        <v>85</v>
      </c>
      <c r="P1015" s="16" t="s">
        <v>85</v>
      </c>
      <c r="Q1015" s="16" t="s">
        <v>85</v>
      </c>
      <c r="R1015" s="16" t="s">
        <v>85</v>
      </c>
      <c r="S1015" s="16" t="s">
        <v>85</v>
      </c>
      <c r="T1015" s="18">
        <v>2400.0</v>
      </c>
      <c r="U1015" s="16" t="s">
        <v>85</v>
      </c>
      <c r="V1015" s="16" t="s">
        <v>85</v>
      </c>
      <c r="W1015" s="16" t="s">
        <v>85</v>
      </c>
      <c r="X1015" s="16" t="s">
        <v>85</v>
      </c>
      <c r="Y1015" s="16" t="s">
        <v>85</v>
      </c>
      <c r="Z1015" s="16" t="s">
        <v>85</v>
      </c>
      <c r="AA1015" s="16" t="s">
        <v>85</v>
      </c>
      <c r="AB1015" s="16" t="s">
        <v>85</v>
      </c>
      <c r="AC1015" s="16" t="s">
        <v>85</v>
      </c>
      <c r="AD1015" s="16" t="s">
        <v>85</v>
      </c>
      <c r="AE1015" s="16" t="s">
        <v>88</v>
      </c>
      <c r="AF1015" s="16" t="s">
        <v>85</v>
      </c>
      <c r="AG1015" s="16" t="s">
        <v>85</v>
      </c>
      <c r="AH1015" s="16" t="s">
        <v>85</v>
      </c>
      <c r="AI1015" s="16">
        <v>7.0</v>
      </c>
      <c r="AJ1015" s="16" t="s">
        <v>85</v>
      </c>
      <c r="AK1015" s="16" t="s">
        <v>85</v>
      </c>
      <c r="AL1015" s="16" t="s">
        <v>85</v>
      </c>
      <c r="AM1015" s="16" t="s">
        <v>85</v>
      </c>
      <c r="AN1015" s="16" t="s">
        <v>85</v>
      </c>
      <c r="AO1015" s="16" t="s">
        <v>85</v>
      </c>
      <c r="AP1015" s="16" t="s">
        <v>85</v>
      </c>
      <c r="AQ1015" s="16" t="s">
        <v>85</v>
      </c>
      <c r="AR1015" s="16" t="s">
        <v>85</v>
      </c>
      <c r="AS1015" s="16" t="s">
        <v>85</v>
      </c>
      <c r="AT1015" s="16" t="s">
        <v>85</v>
      </c>
      <c r="AU1015" s="16" t="s">
        <v>85</v>
      </c>
      <c r="AV1015" s="16" t="s">
        <v>85</v>
      </c>
      <c r="AW1015" s="16" t="s">
        <v>85</v>
      </c>
      <c r="AX1015" s="16" t="s">
        <v>85</v>
      </c>
      <c r="AY1015" s="16" t="s">
        <v>85</v>
      </c>
      <c r="AZ1015" s="16" t="s">
        <v>85</v>
      </c>
      <c r="BA1015" s="16" t="s">
        <v>85</v>
      </c>
      <c r="BB1015" s="16" t="s">
        <v>85</v>
      </c>
      <c r="BC1015" s="16" t="s">
        <v>85</v>
      </c>
      <c r="BD1015" s="16" t="s">
        <v>85</v>
      </c>
      <c r="BE1015" s="16" t="s">
        <v>85</v>
      </c>
      <c r="BF1015" s="16" t="s">
        <v>85</v>
      </c>
      <c r="BG1015" s="16" t="s">
        <v>85</v>
      </c>
      <c r="BH1015" s="16" t="s">
        <v>85</v>
      </c>
      <c r="BI1015" s="16" t="s">
        <v>85</v>
      </c>
      <c r="BJ1015" s="16" t="s">
        <v>85</v>
      </c>
      <c r="BK1015" s="10"/>
    </row>
    <row r="1016">
      <c r="A1016" s="50"/>
      <c r="D1016" s="51"/>
      <c r="E1016" s="32">
        <v>2.0</v>
      </c>
      <c r="F1016" s="18">
        <v>54.0</v>
      </c>
      <c r="G1016" s="21"/>
      <c r="H1016" s="21"/>
      <c r="I1016" s="21"/>
      <c r="J1016" s="21"/>
      <c r="K1016" s="21"/>
      <c r="L1016" s="21"/>
      <c r="M1016" s="21"/>
      <c r="N1016" s="21"/>
      <c r="O1016" s="21"/>
      <c r="P1016" s="21"/>
      <c r="Q1016" s="21"/>
      <c r="R1016" s="21"/>
      <c r="S1016" s="21"/>
      <c r="T1016" s="18">
        <v>2568.0</v>
      </c>
      <c r="U1016" s="21"/>
      <c r="V1016" s="21"/>
      <c r="W1016" s="21"/>
      <c r="X1016" s="21"/>
      <c r="Y1016" s="21"/>
      <c r="Z1016" s="21"/>
      <c r="AA1016" s="21"/>
      <c r="AB1016" s="21"/>
      <c r="AC1016" s="21"/>
      <c r="AD1016" s="21"/>
      <c r="AE1016" s="21"/>
      <c r="AF1016" s="21"/>
      <c r="AG1016" s="21"/>
      <c r="AH1016" s="21"/>
      <c r="AI1016" s="21"/>
      <c r="AJ1016" s="21"/>
      <c r="AK1016" s="21"/>
      <c r="AL1016" s="21"/>
      <c r="AM1016" s="21"/>
      <c r="AN1016" s="21"/>
      <c r="AO1016" s="21"/>
      <c r="AP1016" s="21"/>
      <c r="AQ1016" s="21"/>
      <c r="AR1016" s="21"/>
      <c r="AS1016" s="21"/>
      <c r="AT1016" s="21"/>
      <c r="AU1016" s="21"/>
      <c r="AV1016" s="21"/>
      <c r="AW1016" s="21"/>
      <c r="AX1016" s="21"/>
      <c r="AY1016" s="21"/>
      <c r="AZ1016" s="21"/>
      <c r="BA1016" s="21"/>
      <c r="BB1016" s="21"/>
      <c r="BC1016" s="21"/>
      <c r="BD1016" s="21"/>
      <c r="BE1016" s="21"/>
      <c r="BF1016" s="21"/>
      <c r="BG1016" s="21"/>
      <c r="BH1016" s="21"/>
      <c r="BI1016" s="21"/>
      <c r="BJ1016" s="21"/>
      <c r="BK1016" s="10"/>
    </row>
    <row r="1017">
      <c r="A1017" s="50"/>
      <c r="D1017" s="51"/>
      <c r="E1017" s="32">
        <v>3.0</v>
      </c>
      <c r="F1017" s="18">
        <v>58.0</v>
      </c>
      <c r="G1017" s="21"/>
      <c r="H1017" s="21"/>
      <c r="I1017" s="21"/>
      <c r="J1017" s="21"/>
      <c r="K1017" s="21"/>
      <c r="L1017" s="21"/>
      <c r="M1017" s="21"/>
      <c r="N1017" s="21"/>
      <c r="O1017" s="21"/>
      <c r="P1017" s="21"/>
      <c r="Q1017" s="21"/>
      <c r="R1017" s="21"/>
      <c r="S1017" s="21"/>
      <c r="T1017" s="18">
        <v>2736.0</v>
      </c>
      <c r="U1017" s="21"/>
      <c r="V1017" s="21"/>
      <c r="W1017" s="21"/>
      <c r="X1017" s="21"/>
      <c r="Y1017" s="21"/>
      <c r="Z1017" s="21"/>
      <c r="AA1017" s="21"/>
      <c r="AB1017" s="21"/>
      <c r="AC1017" s="21"/>
      <c r="AD1017" s="21"/>
      <c r="AE1017" s="21"/>
      <c r="AF1017" s="21"/>
      <c r="AG1017" s="21"/>
      <c r="AH1017" s="21"/>
      <c r="AI1017" s="21"/>
      <c r="AJ1017" s="21"/>
      <c r="AK1017" s="21"/>
      <c r="AL1017" s="21"/>
      <c r="AM1017" s="21"/>
      <c r="AN1017" s="21"/>
      <c r="AO1017" s="21"/>
      <c r="AP1017" s="21"/>
      <c r="AQ1017" s="21"/>
      <c r="AR1017" s="21"/>
      <c r="AS1017" s="21"/>
      <c r="AT1017" s="21"/>
      <c r="AU1017" s="21"/>
      <c r="AV1017" s="21"/>
      <c r="AW1017" s="21"/>
      <c r="AX1017" s="21"/>
      <c r="AY1017" s="21"/>
      <c r="AZ1017" s="21"/>
      <c r="BA1017" s="21"/>
      <c r="BB1017" s="21"/>
      <c r="BC1017" s="21"/>
      <c r="BD1017" s="21"/>
      <c r="BE1017" s="21"/>
      <c r="BF1017" s="21"/>
      <c r="BG1017" s="21"/>
      <c r="BH1017" s="21"/>
      <c r="BI1017" s="21"/>
      <c r="BJ1017" s="21"/>
      <c r="BK1017" s="10"/>
    </row>
    <row r="1018">
      <c r="A1018" s="50"/>
      <c r="D1018" s="51"/>
      <c r="E1018" s="32">
        <v>4.0</v>
      </c>
      <c r="F1018" s="18">
        <v>62.0</v>
      </c>
      <c r="G1018" s="21"/>
      <c r="H1018" s="21"/>
      <c r="I1018" s="21"/>
      <c r="J1018" s="21"/>
      <c r="K1018" s="21"/>
      <c r="L1018" s="21"/>
      <c r="M1018" s="21"/>
      <c r="N1018" s="21"/>
      <c r="O1018" s="21"/>
      <c r="P1018" s="21"/>
      <c r="Q1018" s="21"/>
      <c r="R1018" s="21"/>
      <c r="S1018" s="21"/>
      <c r="T1018" s="18">
        <v>2904.0</v>
      </c>
      <c r="U1018" s="21"/>
      <c r="V1018" s="21"/>
      <c r="W1018" s="21"/>
      <c r="X1018" s="21"/>
      <c r="Y1018" s="21"/>
      <c r="Z1018" s="21"/>
      <c r="AA1018" s="21"/>
      <c r="AB1018" s="21"/>
      <c r="AC1018" s="21"/>
      <c r="AD1018" s="21"/>
      <c r="AE1018" s="21"/>
      <c r="AF1018" s="21"/>
      <c r="AG1018" s="21"/>
      <c r="AH1018" s="21"/>
      <c r="AI1018" s="21"/>
      <c r="AJ1018" s="21"/>
      <c r="AK1018" s="21"/>
      <c r="AL1018" s="21"/>
      <c r="AM1018" s="21"/>
      <c r="AN1018" s="21"/>
      <c r="AO1018" s="21"/>
      <c r="AP1018" s="21"/>
      <c r="AQ1018" s="21"/>
      <c r="AR1018" s="21"/>
      <c r="AS1018" s="21"/>
      <c r="AT1018" s="21"/>
      <c r="AU1018" s="21"/>
      <c r="AV1018" s="21"/>
      <c r="AW1018" s="21"/>
      <c r="AX1018" s="21"/>
      <c r="AY1018" s="21"/>
      <c r="AZ1018" s="21"/>
      <c r="BA1018" s="21"/>
      <c r="BB1018" s="21"/>
      <c r="BC1018" s="21"/>
      <c r="BD1018" s="21"/>
      <c r="BE1018" s="21"/>
      <c r="BF1018" s="21"/>
      <c r="BG1018" s="21"/>
      <c r="BH1018" s="21"/>
      <c r="BI1018" s="21"/>
      <c r="BJ1018" s="21"/>
      <c r="BK1018" s="10"/>
    </row>
    <row r="1019">
      <c r="A1019" s="50"/>
      <c r="D1019" s="51"/>
      <c r="E1019" s="32">
        <v>5.0</v>
      </c>
      <c r="F1019" s="18">
        <v>67.0</v>
      </c>
      <c r="G1019" s="21"/>
      <c r="H1019" s="21"/>
      <c r="I1019" s="21"/>
      <c r="J1019" s="21"/>
      <c r="K1019" s="21"/>
      <c r="L1019" s="21"/>
      <c r="M1019" s="21"/>
      <c r="N1019" s="21"/>
      <c r="O1019" s="21"/>
      <c r="P1019" s="21"/>
      <c r="Q1019" s="21"/>
      <c r="R1019" s="21"/>
      <c r="S1019" s="21"/>
      <c r="T1019" s="18">
        <v>3096.0</v>
      </c>
      <c r="U1019" s="21"/>
      <c r="V1019" s="21"/>
      <c r="W1019" s="21"/>
      <c r="X1019" s="21"/>
      <c r="Y1019" s="21"/>
      <c r="Z1019" s="21"/>
      <c r="AA1019" s="21"/>
      <c r="AB1019" s="21"/>
      <c r="AC1019" s="21"/>
      <c r="AD1019" s="21"/>
      <c r="AE1019" s="21"/>
      <c r="AF1019" s="21"/>
      <c r="AG1019" s="21"/>
      <c r="AH1019" s="21"/>
      <c r="AI1019" s="21"/>
      <c r="AJ1019" s="21"/>
      <c r="AK1019" s="21"/>
      <c r="AL1019" s="21"/>
      <c r="AM1019" s="21"/>
      <c r="AN1019" s="21"/>
      <c r="AO1019" s="21"/>
      <c r="AP1019" s="21"/>
      <c r="AQ1019" s="21"/>
      <c r="AR1019" s="21"/>
      <c r="AS1019" s="21"/>
      <c r="AT1019" s="21"/>
      <c r="AU1019" s="21"/>
      <c r="AV1019" s="21"/>
      <c r="AW1019" s="21"/>
      <c r="AX1019" s="21"/>
      <c r="AY1019" s="21"/>
      <c r="AZ1019" s="21"/>
      <c r="BA1019" s="21"/>
      <c r="BB1019" s="21"/>
      <c r="BC1019" s="21"/>
      <c r="BD1019" s="21"/>
      <c r="BE1019" s="21"/>
      <c r="BF1019" s="21"/>
      <c r="BG1019" s="21"/>
      <c r="BH1019" s="21"/>
      <c r="BI1019" s="21"/>
      <c r="BJ1019" s="21"/>
      <c r="BK1019" s="10"/>
    </row>
    <row r="1020">
      <c r="A1020" s="50"/>
      <c r="D1020" s="51"/>
      <c r="E1020" s="32">
        <v>6.0</v>
      </c>
      <c r="F1020" s="18">
        <v>72.0</v>
      </c>
      <c r="G1020" s="21"/>
      <c r="H1020" s="21"/>
      <c r="I1020" s="21"/>
      <c r="J1020" s="21"/>
      <c r="K1020" s="21"/>
      <c r="L1020" s="21"/>
      <c r="M1020" s="21"/>
      <c r="N1020" s="21"/>
      <c r="O1020" s="21"/>
      <c r="P1020" s="21"/>
      <c r="Q1020" s="21"/>
      <c r="R1020" s="21"/>
      <c r="S1020" s="21"/>
      <c r="T1020" s="18">
        <v>3312.0</v>
      </c>
      <c r="U1020" s="21"/>
      <c r="V1020" s="21"/>
      <c r="W1020" s="21"/>
      <c r="X1020" s="21"/>
      <c r="Y1020" s="21"/>
      <c r="Z1020" s="21"/>
      <c r="AA1020" s="21"/>
      <c r="AB1020" s="21"/>
      <c r="AC1020" s="21"/>
      <c r="AD1020" s="21"/>
      <c r="AE1020" s="21"/>
      <c r="AF1020" s="21"/>
      <c r="AG1020" s="21"/>
      <c r="AH1020" s="21"/>
      <c r="AI1020" s="21"/>
      <c r="AJ1020" s="21"/>
      <c r="AK1020" s="21"/>
      <c r="AL1020" s="21"/>
      <c r="AM1020" s="21"/>
      <c r="AN1020" s="21"/>
      <c r="AO1020" s="21"/>
      <c r="AP1020" s="21"/>
      <c r="AQ1020" s="21"/>
      <c r="AR1020" s="21"/>
      <c r="AS1020" s="21"/>
      <c r="AT1020" s="21"/>
      <c r="AU1020" s="21"/>
      <c r="AV1020" s="21"/>
      <c r="AW1020" s="21"/>
      <c r="AX1020" s="21"/>
      <c r="AY1020" s="21"/>
      <c r="AZ1020" s="21"/>
      <c r="BA1020" s="21"/>
      <c r="BB1020" s="21"/>
      <c r="BC1020" s="21"/>
      <c r="BD1020" s="21"/>
      <c r="BE1020" s="21"/>
      <c r="BF1020" s="21"/>
      <c r="BG1020" s="21"/>
      <c r="BH1020" s="21"/>
      <c r="BI1020" s="21"/>
      <c r="BJ1020" s="21"/>
      <c r="BK1020" s="10"/>
    </row>
    <row r="1021">
      <c r="A1021" s="50"/>
      <c r="D1021" s="51"/>
      <c r="E1021" s="32">
        <v>7.0</v>
      </c>
      <c r="F1021" s="18">
        <v>78.0</v>
      </c>
      <c r="G1021" s="21"/>
      <c r="H1021" s="21"/>
      <c r="I1021" s="21"/>
      <c r="J1021" s="21"/>
      <c r="K1021" s="21"/>
      <c r="L1021" s="21"/>
      <c r="M1021" s="21"/>
      <c r="N1021" s="21"/>
      <c r="O1021" s="21"/>
      <c r="P1021" s="21"/>
      <c r="Q1021" s="21"/>
      <c r="R1021" s="21"/>
      <c r="S1021" s="21"/>
      <c r="T1021" s="18">
        <v>3528.0</v>
      </c>
      <c r="U1021" s="21"/>
      <c r="V1021" s="21"/>
      <c r="W1021" s="21"/>
      <c r="X1021" s="21"/>
      <c r="Y1021" s="21"/>
      <c r="Z1021" s="21"/>
      <c r="AA1021" s="21"/>
      <c r="AB1021" s="21"/>
      <c r="AC1021" s="21"/>
      <c r="AD1021" s="21"/>
      <c r="AE1021" s="21"/>
      <c r="AF1021" s="21"/>
      <c r="AG1021" s="21"/>
      <c r="AH1021" s="21"/>
      <c r="AI1021" s="21"/>
      <c r="AJ1021" s="21"/>
      <c r="AK1021" s="21"/>
      <c r="AL1021" s="21"/>
      <c r="AM1021" s="21"/>
      <c r="AN1021" s="21"/>
      <c r="AO1021" s="21"/>
      <c r="AP1021" s="21"/>
      <c r="AQ1021" s="21"/>
      <c r="AR1021" s="21"/>
      <c r="AS1021" s="21"/>
      <c r="AT1021" s="21"/>
      <c r="AU1021" s="21"/>
      <c r="AV1021" s="21"/>
      <c r="AW1021" s="21"/>
      <c r="AX1021" s="21"/>
      <c r="AY1021" s="21"/>
      <c r="AZ1021" s="21"/>
      <c r="BA1021" s="21"/>
      <c r="BB1021" s="21"/>
      <c r="BC1021" s="21"/>
      <c r="BD1021" s="21"/>
      <c r="BE1021" s="21"/>
      <c r="BF1021" s="21"/>
      <c r="BG1021" s="21"/>
      <c r="BH1021" s="21"/>
      <c r="BI1021" s="21"/>
      <c r="BJ1021" s="21"/>
      <c r="BK1021" s="10"/>
    </row>
    <row r="1022">
      <c r="A1022" s="50"/>
      <c r="D1022" s="51"/>
      <c r="E1022" s="32">
        <v>8.0</v>
      </c>
      <c r="F1022" s="18">
        <v>84.0</v>
      </c>
      <c r="G1022" s="21"/>
      <c r="H1022" s="21"/>
      <c r="I1022" s="21"/>
      <c r="J1022" s="21"/>
      <c r="K1022" s="21"/>
      <c r="L1022" s="21"/>
      <c r="M1022" s="21"/>
      <c r="N1022" s="21"/>
      <c r="O1022" s="21"/>
      <c r="P1022" s="21"/>
      <c r="Q1022" s="21"/>
      <c r="R1022" s="21"/>
      <c r="S1022" s="21"/>
      <c r="T1022" s="18">
        <v>3768.0</v>
      </c>
      <c r="U1022" s="21"/>
      <c r="V1022" s="21"/>
      <c r="W1022" s="21"/>
      <c r="X1022" s="21"/>
      <c r="Y1022" s="21"/>
      <c r="Z1022" s="21"/>
      <c r="AA1022" s="21"/>
      <c r="AB1022" s="21"/>
      <c r="AC1022" s="21"/>
      <c r="AD1022" s="21"/>
      <c r="AE1022" s="21"/>
      <c r="AF1022" s="21"/>
      <c r="AG1022" s="21"/>
      <c r="AH1022" s="21"/>
      <c r="AI1022" s="21"/>
      <c r="AJ1022" s="21"/>
      <c r="AK1022" s="21"/>
      <c r="AL1022" s="21"/>
      <c r="AM1022" s="21"/>
      <c r="AN1022" s="21"/>
      <c r="AO1022" s="21"/>
      <c r="AP1022" s="21"/>
      <c r="AQ1022" s="21"/>
      <c r="AR1022" s="21"/>
      <c r="AS1022" s="21"/>
      <c r="AT1022" s="21"/>
      <c r="AU1022" s="21"/>
      <c r="AV1022" s="21"/>
      <c r="AW1022" s="21"/>
      <c r="AX1022" s="21"/>
      <c r="AY1022" s="21"/>
      <c r="AZ1022" s="21"/>
      <c r="BA1022" s="21"/>
      <c r="BB1022" s="21"/>
      <c r="BC1022" s="21"/>
      <c r="BD1022" s="21"/>
      <c r="BE1022" s="21"/>
      <c r="BF1022" s="21"/>
      <c r="BG1022" s="21"/>
      <c r="BH1022" s="21"/>
      <c r="BI1022" s="21"/>
      <c r="BJ1022" s="21"/>
      <c r="BK1022" s="10"/>
    </row>
    <row r="1023">
      <c r="A1023" s="50"/>
      <c r="D1023" s="51"/>
      <c r="E1023" s="32">
        <v>9.0</v>
      </c>
      <c r="F1023" s="18">
        <v>90.0</v>
      </c>
      <c r="G1023" s="21"/>
      <c r="H1023" s="21"/>
      <c r="I1023" s="21"/>
      <c r="J1023" s="21"/>
      <c r="K1023" s="21"/>
      <c r="L1023" s="21"/>
      <c r="M1023" s="21"/>
      <c r="N1023" s="21"/>
      <c r="O1023" s="21"/>
      <c r="P1023" s="21"/>
      <c r="Q1023" s="21"/>
      <c r="R1023" s="21"/>
      <c r="S1023" s="21"/>
      <c r="T1023" s="18">
        <v>4008.0</v>
      </c>
      <c r="U1023" s="21"/>
      <c r="V1023" s="21"/>
      <c r="W1023" s="21"/>
      <c r="X1023" s="21"/>
      <c r="Y1023" s="21"/>
      <c r="Z1023" s="21"/>
      <c r="AA1023" s="21"/>
      <c r="AB1023" s="21"/>
      <c r="AC1023" s="21"/>
      <c r="AD1023" s="21"/>
      <c r="AE1023" s="21"/>
      <c r="AF1023" s="21"/>
      <c r="AG1023" s="21"/>
      <c r="AH1023" s="21"/>
      <c r="AI1023" s="21"/>
      <c r="AJ1023" s="21"/>
      <c r="AK1023" s="21"/>
      <c r="AL1023" s="21"/>
      <c r="AM1023" s="21"/>
      <c r="AN1023" s="21"/>
      <c r="AO1023" s="21"/>
      <c r="AP1023" s="21"/>
      <c r="AQ1023" s="21"/>
      <c r="AR1023" s="21"/>
      <c r="AS1023" s="21"/>
      <c r="AT1023" s="21"/>
      <c r="AU1023" s="21"/>
      <c r="AV1023" s="21"/>
      <c r="AW1023" s="21"/>
      <c r="AX1023" s="21"/>
      <c r="AY1023" s="21"/>
      <c r="AZ1023" s="21"/>
      <c r="BA1023" s="21"/>
      <c r="BB1023" s="21"/>
      <c r="BC1023" s="21"/>
      <c r="BD1023" s="21"/>
      <c r="BE1023" s="21"/>
      <c r="BF1023" s="21"/>
      <c r="BG1023" s="21"/>
      <c r="BH1023" s="21"/>
      <c r="BI1023" s="21"/>
      <c r="BJ1023" s="21"/>
      <c r="BK1023" s="10"/>
    </row>
    <row r="1024">
      <c r="A1024" s="50"/>
      <c r="D1024" s="51"/>
      <c r="E1024" s="32">
        <v>10.0</v>
      </c>
      <c r="F1024" s="18">
        <v>99.0</v>
      </c>
      <c r="G1024" s="21"/>
      <c r="H1024" s="21"/>
      <c r="I1024" s="21"/>
      <c r="J1024" s="21"/>
      <c r="K1024" s="21"/>
      <c r="L1024" s="21"/>
      <c r="M1024" s="21"/>
      <c r="N1024" s="21"/>
      <c r="O1024" s="21"/>
      <c r="P1024" s="21"/>
      <c r="Q1024" s="21"/>
      <c r="R1024" s="21"/>
      <c r="S1024" s="21"/>
      <c r="T1024" s="18">
        <v>4392.0</v>
      </c>
      <c r="U1024" s="21"/>
      <c r="V1024" s="21"/>
      <c r="W1024" s="21"/>
      <c r="X1024" s="21"/>
      <c r="Y1024" s="21"/>
      <c r="Z1024" s="21"/>
      <c r="AA1024" s="21"/>
      <c r="AB1024" s="21"/>
      <c r="AC1024" s="21"/>
      <c r="AD1024" s="21"/>
      <c r="AE1024" s="21"/>
      <c r="AF1024" s="21"/>
      <c r="AG1024" s="21"/>
      <c r="AH1024" s="21"/>
      <c r="AI1024" s="21"/>
      <c r="AJ1024" s="21"/>
      <c r="AK1024" s="21"/>
      <c r="AL1024" s="21"/>
      <c r="AM1024" s="21"/>
      <c r="AN1024" s="21"/>
      <c r="AO1024" s="21"/>
      <c r="AP1024" s="21"/>
      <c r="AQ1024" s="21"/>
      <c r="AR1024" s="21"/>
      <c r="AS1024" s="21"/>
      <c r="AT1024" s="21"/>
      <c r="AU1024" s="21"/>
      <c r="AV1024" s="21"/>
      <c r="AW1024" s="21"/>
      <c r="AX1024" s="21"/>
      <c r="AY1024" s="21"/>
      <c r="AZ1024" s="21"/>
      <c r="BA1024" s="21"/>
      <c r="BB1024" s="21"/>
      <c r="BC1024" s="21"/>
      <c r="BD1024" s="21"/>
      <c r="BE1024" s="21"/>
      <c r="BF1024" s="21"/>
      <c r="BG1024" s="21"/>
      <c r="BH1024" s="21"/>
      <c r="BI1024" s="21"/>
      <c r="BJ1024" s="21"/>
      <c r="BK1024" s="10"/>
    </row>
    <row r="1025">
      <c r="A1025" s="50"/>
      <c r="D1025" s="51"/>
      <c r="E1025" s="32">
        <v>11.0</v>
      </c>
      <c r="F1025" s="18">
        <v>109.0</v>
      </c>
      <c r="G1025" s="21"/>
      <c r="H1025" s="21"/>
      <c r="I1025" s="21"/>
      <c r="J1025" s="21"/>
      <c r="K1025" s="21"/>
      <c r="L1025" s="21"/>
      <c r="M1025" s="21"/>
      <c r="N1025" s="21"/>
      <c r="O1025" s="21"/>
      <c r="P1025" s="21"/>
      <c r="Q1025" s="21"/>
      <c r="R1025" s="21"/>
      <c r="S1025" s="21"/>
      <c r="T1025" s="18">
        <v>4824.0</v>
      </c>
      <c r="U1025" s="21"/>
      <c r="V1025" s="21"/>
      <c r="W1025" s="21"/>
      <c r="X1025" s="21"/>
      <c r="Y1025" s="21"/>
      <c r="Z1025" s="21"/>
      <c r="AA1025" s="21"/>
      <c r="AB1025" s="21"/>
      <c r="AC1025" s="21"/>
      <c r="AD1025" s="21"/>
      <c r="AE1025" s="21"/>
      <c r="AF1025" s="21"/>
      <c r="AG1025" s="21"/>
      <c r="AH1025" s="21"/>
      <c r="AI1025" s="21"/>
      <c r="AJ1025" s="21"/>
      <c r="AK1025" s="21"/>
      <c r="AL1025" s="21"/>
      <c r="AM1025" s="21"/>
      <c r="AN1025" s="21"/>
      <c r="AO1025" s="21"/>
      <c r="AP1025" s="21"/>
      <c r="AQ1025" s="21"/>
      <c r="AR1025" s="21"/>
      <c r="AS1025" s="21"/>
      <c r="AT1025" s="21"/>
      <c r="AU1025" s="21"/>
      <c r="AV1025" s="21"/>
      <c r="AW1025" s="21"/>
      <c r="AX1025" s="21"/>
      <c r="AY1025" s="21"/>
      <c r="AZ1025" s="21"/>
      <c r="BA1025" s="21"/>
      <c r="BB1025" s="21"/>
      <c r="BC1025" s="21"/>
      <c r="BD1025" s="21"/>
      <c r="BE1025" s="21"/>
      <c r="BF1025" s="21"/>
      <c r="BG1025" s="21"/>
      <c r="BH1025" s="21"/>
      <c r="BI1025" s="21"/>
      <c r="BJ1025" s="21"/>
      <c r="BK1025" s="10"/>
    </row>
    <row r="1026">
      <c r="A1026" s="50"/>
      <c r="D1026" s="51"/>
      <c r="E1026" s="32">
        <v>12.0</v>
      </c>
      <c r="F1026" s="18">
        <v>119.0</v>
      </c>
      <c r="G1026" s="21"/>
      <c r="H1026" s="21"/>
      <c r="I1026" s="21"/>
      <c r="J1026" s="21"/>
      <c r="K1026" s="21"/>
      <c r="L1026" s="21"/>
      <c r="M1026" s="21"/>
      <c r="N1026" s="21"/>
      <c r="O1026" s="21"/>
      <c r="P1026" s="21"/>
      <c r="Q1026" s="21"/>
      <c r="R1026" s="21"/>
      <c r="S1026" s="21"/>
      <c r="T1026" s="18">
        <v>5304.0</v>
      </c>
      <c r="U1026" s="21"/>
      <c r="V1026" s="21"/>
      <c r="W1026" s="21"/>
      <c r="X1026" s="21"/>
      <c r="Y1026" s="21"/>
      <c r="Z1026" s="21"/>
      <c r="AA1026" s="21"/>
      <c r="AB1026" s="21"/>
      <c r="AC1026" s="21"/>
      <c r="AD1026" s="21"/>
      <c r="AE1026" s="21"/>
      <c r="AF1026" s="21"/>
      <c r="AG1026" s="21"/>
      <c r="AH1026" s="21"/>
      <c r="AI1026" s="21"/>
      <c r="AJ1026" s="21"/>
      <c r="AK1026" s="21"/>
      <c r="AL1026" s="21"/>
      <c r="AM1026" s="21"/>
      <c r="AN1026" s="21"/>
      <c r="AO1026" s="21"/>
      <c r="AP1026" s="21"/>
      <c r="AQ1026" s="21"/>
      <c r="AR1026" s="21"/>
      <c r="AS1026" s="21"/>
      <c r="AT1026" s="21"/>
      <c r="AU1026" s="21"/>
      <c r="AV1026" s="21"/>
      <c r="AW1026" s="21"/>
      <c r="AX1026" s="21"/>
      <c r="AY1026" s="21"/>
      <c r="AZ1026" s="21"/>
      <c r="BA1026" s="21"/>
      <c r="BB1026" s="21"/>
      <c r="BC1026" s="21"/>
      <c r="BD1026" s="21"/>
      <c r="BE1026" s="21"/>
      <c r="BF1026" s="21"/>
      <c r="BG1026" s="21"/>
      <c r="BH1026" s="21"/>
      <c r="BI1026" s="21"/>
      <c r="BJ1026" s="21"/>
      <c r="BK1026" s="10"/>
    </row>
    <row r="1027">
      <c r="A1027" s="52"/>
      <c r="B1027" s="53"/>
      <c r="C1027" s="53"/>
      <c r="D1027" s="54"/>
      <c r="E1027" s="32">
        <v>13.0</v>
      </c>
      <c r="F1027" s="18">
        <v>131.0</v>
      </c>
      <c r="G1027" s="22"/>
      <c r="H1027" s="22"/>
      <c r="I1027" s="22"/>
      <c r="J1027" s="22"/>
      <c r="K1027" s="22"/>
      <c r="L1027" s="22"/>
      <c r="M1027" s="22"/>
      <c r="N1027" s="22"/>
      <c r="O1027" s="22"/>
      <c r="P1027" s="22"/>
      <c r="Q1027" s="22"/>
      <c r="R1027" s="22"/>
      <c r="S1027" s="22"/>
      <c r="T1027" s="18">
        <v>5832.0</v>
      </c>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AV1027" s="22"/>
      <c r="AW1027" s="22"/>
      <c r="AX1027" s="22"/>
      <c r="AY1027" s="22"/>
      <c r="AZ1027" s="22"/>
      <c r="BA1027" s="22"/>
      <c r="BB1027" s="22"/>
      <c r="BC1027" s="22"/>
      <c r="BD1027" s="22"/>
      <c r="BE1027" s="22"/>
      <c r="BF1027" s="22"/>
      <c r="BG1027" s="22"/>
      <c r="BH1027" s="22"/>
      <c r="BI1027" s="22"/>
      <c r="BJ1027" s="22"/>
      <c r="BK1027" s="10"/>
    </row>
    <row r="1028">
      <c r="A1028" s="47" t="s">
        <v>406</v>
      </c>
      <c r="B1028" s="48"/>
      <c r="C1028" s="48"/>
      <c r="D1028" s="49"/>
      <c r="E1028" s="32">
        <v>1.0</v>
      </c>
      <c r="F1028" s="18">
        <v>50.0</v>
      </c>
      <c r="G1028" s="16" t="s">
        <v>85</v>
      </c>
      <c r="H1028" s="16" t="s">
        <v>85</v>
      </c>
      <c r="I1028" s="16" t="s">
        <v>85</v>
      </c>
      <c r="J1028" s="16" t="s">
        <v>85</v>
      </c>
      <c r="K1028" s="16" t="s">
        <v>85</v>
      </c>
      <c r="L1028" s="16" t="s">
        <v>85</v>
      </c>
      <c r="M1028" s="16" t="s">
        <v>85</v>
      </c>
      <c r="N1028" s="16" t="s">
        <v>85</v>
      </c>
      <c r="O1028" s="16" t="s">
        <v>85</v>
      </c>
      <c r="P1028" s="16" t="s">
        <v>85</v>
      </c>
      <c r="Q1028" s="16" t="s">
        <v>85</v>
      </c>
      <c r="R1028" s="16" t="s">
        <v>85</v>
      </c>
      <c r="S1028" s="16" t="s">
        <v>85</v>
      </c>
      <c r="T1028" s="18">
        <v>1400.0</v>
      </c>
      <c r="U1028" s="16" t="s">
        <v>85</v>
      </c>
      <c r="V1028" s="16" t="s">
        <v>85</v>
      </c>
      <c r="W1028" s="16" t="s">
        <v>85</v>
      </c>
      <c r="X1028" s="16" t="s">
        <v>85</v>
      </c>
      <c r="Y1028" s="16" t="s">
        <v>85</v>
      </c>
      <c r="Z1028" s="16" t="s">
        <v>85</v>
      </c>
      <c r="AA1028" s="16" t="s">
        <v>85</v>
      </c>
      <c r="AB1028" s="16" t="s">
        <v>85</v>
      </c>
      <c r="AC1028" s="16" t="s">
        <v>85</v>
      </c>
      <c r="AD1028" s="16" t="s">
        <v>85</v>
      </c>
      <c r="AE1028" s="16" t="s">
        <v>390</v>
      </c>
      <c r="AF1028" s="16" t="s">
        <v>85</v>
      </c>
      <c r="AG1028" s="16" t="s">
        <v>85</v>
      </c>
      <c r="AH1028" s="16" t="s">
        <v>85</v>
      </c>
      <c r="AI1028" s="16">
        <v>7.5</v>
      </c>
      <c r="AJ1028" s="16" t="s">
        <v>85</v>
      </c>
      <c r="AK1028" s="16" t="s">
        <v>85</v>
      </c>
      <c r="AL1028" s="16" t="s">
        <v>85</v>
      </c>
      <c r="AM1028" s="16" t="s">
        <v>85</v>
      </c>
      <c r="AN1028" s="16" t="s">
        <v>85</v>
      </c>
      <c r="AO1028" s="16" t="s">
        <v>85</v>
      </c>
      <c r="AP1028" s="16" t="s">
        <v>85</v>
      </c>
      <c r="AQ1028" s="16" t="s">
        <v>85</v>
      </c>
      <c r="AR1028" s="16" t="s">
        <v>85</v>
      </c>
      <c r="AS1028" s="16" t="s">
        <v>85</v>
      </c>
      <c r="AT1028" s="16" t="s">
        <v>85</v>
      </c>
      <c r="AU1028" s="16" t="s">
        <v>85</v>
      </c>
      <c r="AV1028" s="16" t="s">
        <v>85</v>
      </c>
      <c r="AW1028" s="16" t="s">
        <v>85</v>
      </c>
      <c r="AX1028" s="16" t="s">
        <v>85</v>
      </c>
      <c r="AY1028" s="16" t="s">
        <v>85</v>
      </c>
      <c r="AZ1028" s="16" t="s">
        <v>85</v>
      </c>
      <c r="BA1028" s="16" t="s">
        <v>85</v>
      </c>
      <c r="BB1028" s="16" t="s">
        <v>85</v>
      </c>
      <c r="BC1028" s="16" t="s">
        <v>85</v>
      </c>
      <c r="BD1028" s="16" t="s">
        <v>85</v>
      </c>
      <c r="BE1028" s="16" t="s">
        <v>85</v>
      </c>
      <c r="BF1028" s="16" t="s">
        <v>85</v>
      </c>
      <c r="BG1028" s="16" t="s">
        <v>85</v>
      </c>
      <c r="BH1028" s="16" t="s">
        <v>85</v>
      </c>
      <c r="BI1028" s="16" t="s">
        <v>85</v>
      </c>
      <c r="BJ1028" s="16" t="s">
        <v>85</v>
      </c>
      <c r="BK1028" s="10"/>
    </row>
    <row r="1029">
      <c r="A1029" s="50"/>
      <c r="D1029" s="51"/>
      <c r="E1029" s="32">
        <v>2.0</v>
      </c>
      <c r="F1029" s="18">
        <v>54.0</v>
      </c>
      <c r="G1029" s="21"/>
      <c r="H1029" s="21"/>
      <c r="I1029" s="21"/>
      <c r="J1029" s="21"/>
      <c r="K1029" s="21"/>
      <c r="L1029" s="21"/>
      <c r="M1029" s="21"/>
      <c r="N1029" s="21"/>
      <c r="O1029" s="21"/>
      <c r="P1029" s="21"/>
      <c r="Q1029" s="21"/>
      <c r="R1029" s="21"/>
      <c r="S1029" s="21"/>
      <c r="T1029" s="18">
        <v>1512.0</v>
      </c>
      <c r="U1029" s="21"/>
      <c r="V1029" s="21"/>
      <c r="W1029" s="21"/>
      <c r="X1029" s="21"/>
      <c r="Y1029" s="21"/>
      <c r="Z1029" s="21"/>
      <c r="AA1029" s="21"/>
      <c r="AB1029" s="21"/>
      <c r="AC1029" s="21"/>
      <c r="AD1029" s="21"/>
      <c r="AE1029" s="21"/>
      <c r="AF1029" s="21"/>
      <c r="AG1029" s="21"/>
      <c r="AH1029" s="21"/>
      <c r="AI1029" s="21"/>
      <c r="AJ1029" s="21"/>
      <c r="AK1029" s="21"/>
      <c r="AL1029" s="21"/>
      <c r="AM1029" s="21"/>
      <c r="AN1029" s="21"/>
      <c r="AO1029" s="21"/>
      <c r="AP1029" s="21"/>
      <c r="AQ1029" s="21"/>
      <c r="AR1029" s="21"/>
      <c r="AS1029" s="21"/>
      <c r="AT1029" s="21"/>
      <c r="AU1029" s="21"/>
      <c r="AV1029" s="21"/>
      <c r="AW1029" s="21"/>
      <c r="AX1029" s="21"/>
      <c r="AY1029" s="21"/>
      <c r="AZ1029" s="21"/>
      <c r="BA1029" s="21"/>
      <c r="BB1029" s="21"/>
      <c r="BC1029" s="21"/>
      <c r="BD1029" s="21"/>
      <c r="BE1029" s="21"/>
      <c r="BF1029" s="21"/>
      <c r="BG1029" s="21"/>
      <c r="BH1029" s="21"/>
      <c r="BI1029" s="21"/>
      <c r="BJ1029" s="21"/>
      <c r="BK1029" s="10"/>
    </row>
    <row r="1030">
      <c r="A1030" s="50"/>
      <c r="D1030" s="51"/>
      <c r="E1030" s="32">
        <v>3.0</v>
      </c>
      <c r="F1030" s="18">
        <v>58.0</v>
      </c>
      <c r="G1030" s="21"/>
      <c r="H1030" s="21"/>
      <c r="I1030" s="21"/>
      <c r="J1030" s="21"/>
      <c r="K1030" s="21"/>
      <c r="L1030" s="21"/>
      <c r="M1030" s="21"/>
      <c r="N1030" s="21"/>
      <c r="O1030" s="21"/>
      <c r="P1030" s="21"/>
      <c r="Q1030" s="21"/>
      <c r="R1030" s="21"/>
      <c r="S1030" s="21"/>
      <c r="T1030" s="18">
        <v>1624.0</v>
      </c>
      <c r="U1030" s="21"/>
      <c r="V1030" s="21"/>
      <c r="W1030" s="21"/>
      <c r="X1030" s="21"/>
      <c r="Y1030" s="21"/>
      <c r="Z1030" s="21"/>
      <c r="AA1030" s="21"/>
      <c r="AB1030" s="21"/>
      <c r="AC1030" s="21"/>
      <c r="AD1030" s="21"/>
      <c r="AE1030" s="21"/>
      <c r="AF1030" s="21"/>
      <c r="AG1030" s="21"/>
      <c r="AH1030" s="21"/>
      <c r="AI1030" s="21"/>
      <c r="AJ1030" s="21"/>
      <c r="AK1030" s="21"/>
      <c r="AL1030" s="21"/>
      <c r="AM1030" s="21"/>
      <c r="AN1030" s="21"/>
      <c r="AO1030" s="21"/>
      <c r="AP1030" s="21"/>
      <c r="AQ1030" s="21"/>
      <c r="AR1030" s="21"/>
      <c r="AS1030" s="21"/>
      <c r="AT1030" s="21"/>
      <c r="AU1030" s="21"/>
      <c r="AV1030" s="21"/>
      <c r="AW1030" s="21"/>
      <c r="AX1030" s="21"/>
      <c r="AY1030" s="21"/>
      <c r="AZ1030" s="21"/>
      <c r="BA1030" s="21"/>
      <c r="BB1030" s="21"/>
      <c r="BC1030" s="21"/>
      <c r="BD1030" s="21"/>
      <c r="BE1030" s="21"/>
      <c r="BF1030" s="21"/>
      <c r="BG1030" s="21"/>
      <c r="BH1030" s="21"/>
      <c r="BI1030" s="21"/>
      <c r="BJ1030" s="21"/>
      <c r="BK1030" s="10"/>
    </row>
    <row r="1031">
      <c r="A1031" s="50"/>
      <c r="D1031" s="51"/>
      <c r="E1031" s="32">
        <v>4.0</v>
      </c>
      <c r="F1031" s="18">
        <v>62.0</v>
      </c>
      <c r="G1031" s="21"/>
      <c r="H1031" s="21"/>
      <c r="I1031" s="21"/>
      <c r="J1031" s="21"/>
      <c r="K1031" s="21"/>
      <c r="L1031" s="21"/>
      <c r="M1031" s="21"/>
      <c r="N1031" s="21"/>
      <c r="O1031" s="21"/>
      <c r="P1031" s="21"/>
      <c r="Q1031" s="21"/>
      <c r="R1031" s="21"/>
      <c r="S1031" s="21"/>
      <c r="T1031" s="18">
        <v>1750.0</v>
      </c>
      <c r="U1031" s="21"/>
      <c r="V1031" s="21"/>
      <c r="W1031" s="21"/>
      <c r="X1031" s="21"/>
      <c r="Y1031" s="21"/>
      <c r="Z1031" s="21"/>
      <c r="AA1031" s="21"/>
      <c r="AB1031" s="21"/>
      <c r="AC1031" s="21"/>
      <c r="AD1031" s="21"/>
      <c r="AE1031" s="21"/>
      <c r="AF1031" s="21"/>
      <c r="AG1031" s="21"/>
      <c r="AH1031" s="21"/>
      <c r="AI1031" s="21"/>
      <c r="AJ1031" s="21"/>
      <c r="AK1031" s="21"/>
      <c r="AL1031" s="21"/>
      <c r="AM1031" s="21"/>
      <c r="AN1031" s="21"/>
      <c r="AO1031" s="21"/>
      <c r="AP1031" s="21"/>
      <c r="AQ1031" s="21"/>
      <c r="AR1031" s="21"/>
      <c r="AS1031" s="21"/>
      <c r="AT1031" s="21"/>
      <c r="AU1031" s="21"/>
      <c r="AV1031" s="21"/>
      <c r="AW1031" s="21"/>
      <c r="AX1031" s="21"/>
      <c r="AY1031" s="21"/>
      <c r="AZ1031" s="21"/>
      <c r="BA1031" s="21"/>
      <c r="BB1031" s="21"/>
      <c r="BC1031" s="21"/>
      <c r="BD1031" s="21"/>
      <c r="BE1031" s="21"/>
      <c r="BF1031" s="21"/>
      <c r="BG1031" s="21"/>
      <c r="BH1031" s="21"/>
      <c r="BI1031" s="21"/>
      <c r="BJ1031" s="21"/>
      <c r="BK1031" s="10"/>
    </row>
    <row r="1032">
      <c r="A1032" s="50"/>
      <c r="D1032" s="51"/>
      <c r="E1032" s="32">
        <v>5.0</v>
      </c>
      <c r="F1032" s="18">
        <v>67.0</v>
      </c>
      <c r="G1032" s="21"/>
      <c r="H1032" s="21"/>
      <c r="I1032" s="21"/>
      <c r="J1032" s="21"/>
      <c r="K1032" s="21"/>
      <c r="L1032" s="21"/>
      <c r="M1032" s="21"/>
      <c r="N1032" s="21"/>
      <c r="O1032" s="21"/>
      <c r="P1032" s="21"/>
      <c r="Q1032" s="21"/>
      <c r="R1032" s="21"/>
      <c r="S1032" s="21"/>
      <c r="T1032" s="18">
        <v>1890.0</v>
      </c>
      <c r="U1032" s="21"/>
      <c r="V1032" s="21"/>
      <c r="W1032" s="21"/>
      <c r="X1032" s="21"/>
      <c r="Y1032" s="21"/>
      <c r="Z1032" s="21"/>
      <c r="AA1032" s="21"/>
      <c r="AB1032" s="21"/>
      <c r="AC1032" s="21"/>
      <c r="AD1032" s="21"/>
      <c r="AE1032" s="21"/>
      <c r="AF1032" s="21"/>
      <c r="AG1032" s="21"/>
      <c r="AH1032" s="21"/>
      <c r="AI1032" s="21"/>
      <c r="AJ1032" s="21"/>
      <c r="AK1032" s="21"/>
      <c r="AL1032" s="21"/>
      <c r="AM1032" s="21"/>
      <c r="AN1032" s="21"/>
      <c r="AO1032" s="21"/>
      <c r="AP1032" s="21"/>
      <c r="AQ1032" s="21"/>
      <c r="AR1032" s="21"/>
      <c r="AS1032" s="21"/>
      <c r="AT1032" s="21"/>
      <c r="AU1032" s="21"/>
      <c r="AV1032" s="21"/>
      <c r="AW1032" s="21"/>
      <c r="AX1032" s="21"/>
      <c r="AY1032" s="21"/>
      <c r="AZ1032" s="21"/>
      <c r="BA1032" s="21"/>
      <c r="BB1032" s="21"/>
      <c r="BC1032" s="21"/>
      <c r="BD1032" s="21"/>
      <c r="BE1032" s="21"/>
      <c r="BF1032" s="21"/>
      <c r="BG1032" s="21"/>
      <c r="BH1032" s="21"/>
      <c r="BI1032" s="21"/>
      <c r="BJ1032" s="21"/>
      <c r="BK1032" s="10"/>
    </row>
    <row r="1033">
      <c r="A1033" s="50"/>
      <c r="D1033" s="51"/>
      <c r="E1033" s="32">
        <v>6.0</v>
      </c>
      <c r="F1033" s="18">
        <v>72.0</v>
      </c>
      <c r="G1033" s="21"/>
      <c r="H1033" s="21"/>
      <c r="I1033" s="21"/>
      <c r="J1033" s="21"/>
      <c r="K1033" s="21"/>
      <c r="L1033" s="21"/>
      <c r="M1033" s="21"/>
      <c r="N1033" s="21"/>
      <c r="O1033" s="21"/>
      <c r="P1033" s="21"/>
      <c r="Q1033" s="21"/>
      <c r="R1033" s="21"/>
      <c r="S1033" s="21"/>
      <c r="T1033" s="18">
        <v>2030.0</v>
      </c>
      <c r="U1033" s="21"/>
      <c r="V1033" s="21"/>
      <c r="W1033" s="21"/>
      <c r="X1033" s="21"/>
      <c r="Y1033" s="21"/>
      <c r="Z1033" s="21"/>
      <c r="AA1033" s="21"/>
      <c r="AB1033" s="21"/>
      <c r="AC1033" s="21"/>
      <c r="AD1033" s="21"/>
      <c r="AE1033" s="21"/>
      <c r="AF1033" s="21"/>
      <c r="AG1033" s="21"/>
      <c r="AH1033" s="21"/>
      <c r="AI1033" s="21"/>
      <c r="AJ1033" s="21"/>
      <c r="AK1033" s="21"/>
      <c r="AL1033" s="21"/>
      <c r="AM1033" s="21"/>
      <c r="AN1033" s="21"/>
      <c r="AO1033" s="21"/>
      <c r="AP1033" s="21"/>
      <c r="AQ1033" s="21"/>
      <c r="AR1033" s="21"/>
      <c r="AS1033" s="21"/>
      <c r="AT1033" s="21"/>
      <c r="AU1033" s="21"/>
      <c r="AV1033" s="21"/>
      <c r="AW1033" s="21"/>
      <c r="AX1033" s="21"/>
      <c r="AY1033" s="21"/>
      <c r="AZ1033" s="21"/>
      <c r="BA1033" s="21"/>
      <c r="BB1033" s="21"/>
      <c r="BC1033" s="21"/>
      <c r="BD1033" s="21"/>
      <c r="BE1033" s="21"/>
      <c r="BF1033" s="21"/>
      <c r="BG1033" s="21"/>
      <c r="BH1033" s="21"/>
      <c r="BI1033" s="21"/>
      <c r="BJ1033" s="21"/>
      <c r="BK1033" s="10"/>
    </row>
    <row r="1034">
      <c r="A1034" s="50"/>
      <c r="D1034" s="51"/>
      <c r="E1034" s="32">
        <v>7.0</v>
      </c>
      <c r="F1034" s="18">
        <v>78.0</v>
      </c>
      <c r="G1034" s="21"/>
      <c r="H1034" s="21"/>
      <c r="I1034" s="21"/>
      <c r="J1034" s="21"/>
      <c r="K1034" s="21"/>
      <c r="L1034" s="21"/>
      <c r="M1034" s="21"/>
      <c r="N1034" s="21"/>
      <c r="O1034" s="21"/>
      <c r="P1034" s="21"/>
      <c r="Q1034" s="21"/>
      <c r="R1034" s="21"/>
      <c r="S1034" s="21"/>
      <c r="T1034" s="18">
        <v>2184.0</v>
      </c>
      <c r="U1034" s="21"/>
      <c r="V1034" s="21"/>
      <c r="W1034" s="21"/>
      <c r="X1034" s="21"/>
      <c r="Y1034" s="21"/>
      <c r="Z1034" s="21"/>
      <c r="AA1034" s="21"/>
      <c r="AB1034" s="21"/>
      <c r="AC1034" s="21"/>
      <c r="AD1034" s="21"/>
      <c r="AE1034" s="21"/>
      <c r="AF1034" s="21"/>
      <c r="AG1034" s="21"/>
      <c r="AH1034" s="21"/>
      <c r="AI1034" s="21"/>
      <c r="AJ1034" s="21"/>
      <c r="AK1034" s="21"/>
      <c r="AL1034" s="21"/>
      <c r="AM1034" s="21"/>
      <c r="AN1034" s="21"/>
      <c r="AO1034" s="21"/>
      <c r="AP1034" s="21"/>
      <c r="AQ1034" s="21"/>
      <c r="AR1034" s="21"/>
      <c r="AS1034" s="21"/>
      <c r="AT1034" s="21"/>
      <c r="AU1034" s="21"/>
      <c r="AV1034" s="21"/>
      <c r="AW1034" s="21"/>
      <c r="AX1034" s="21"/>
      <c r="AY1034" s="21"/>
      <c r="AZ1034" s="21"/>
      <c r="BA1034" s="21"/>
      <c r="BB1034" s="21"/>
      <c r="BC1034" s="21"/>
      <c r="BD1034" s="21"/>
      <c r="BE1034" s="21"/>
      <c r="BF1034" s="21"/>
      <c r="BG1034" s="21"/>
      <c r="BH1034" s="21"/>
      <c r="BI1034" s="21"/>
      <c r="BJ1034" s="21"/>
      <c r="BK1034" s="10"/>
    </row>
    <row r="1035">
      <c r="A1035" s="50"/>
      <c r="D1035" s="51"/>
      <c r="E1035" s="32">
        <v>8.0</v>
      </c>
      <c r="F1035" s="18">
        <v>84.0</v>
      </c>
      <c r="G1035" s="21"/>
      <c r="H1035" s="21"/>
      <c r="I1035" s="21"/>
      <c r="J1035" s="21"/>
      <c r="K1035" s="21"/>
      <c r="L1035" s="21"/>
      <c r="M1035" s="21"/>
      <c r="N1035" s="21"/>
      <c r="O1035" s="21"/>
      <c r="P1035" s="21"/>
      <c r="Q1035" s="21"/>
      <c r="R1035" s="21"/>
      <c r="S1035" s="21"/>
      <c r="T1035" s="18">
        <v>2352.0</v>
      </c>
      <c r="U1035" s="21"/>
      <c r="V1035" s="21"/>
      <c r="W1035" s="21"/>
      <c r="X1035" s="21"/>
      <c r="Y1035" s="21"/>
      <c r="Z1035" s="21"/>
      <c r="AA1035" s="21"/>
      <c r="AB1035" s="21"/>
      <c r="AC1035" s="21"/>
      <c r="AD1035" s="21"/>
      <c r="AE1035" s="21"/>
      <c r="AF1035" s="21"/>
      <c r="AG1035" s="21"/>
      <c r="AH1035" s="21"/>
      <c r="AI1035" s="21"/>
      <c r="AJ1035" s="21"/>
      <c r="AK1035" s="21"/>
      <c r="AL1035" s="21"/>
      <c r="AM1035" s="21"/>
      <c r="AN1035" s="21"/>
      <c r="AO1035" s="21"/>
      <c r="AP1035" s="21"/>
      <c r="AQ1035" s="21"/>
      <c r="AR1035" s="21"/>
      <c r="AS1035" s="21"/>
      <c r="AT1035" s="21"/>
      <c r="AU1035" s="21"/>
      <c r="AV1035" s="21"/>
      <c r="AW1035" s="21"/>
      <c r="AX1035" s="21"/>
      <c r="AY1035" s="21"/>
      <c r="AZ1035" s="21"/>
      <c r="BA1035" s="21"/>
      <c r="BB1035" s="21"/>
      <c r="BC1035" s="21"/>
      <c r="BD1035" s="21"/>
      <c r="BE1035" s="21"/>
      <c r="BF1035" s="21"/>
      <c r="BG1035" s="21"/>
      <c r="BH1035" s="21"/>
      <c r="BI1035" s="21"/>
      <c r="BJ1035" s="21"/>
      <c r="BK1035" s="10"/>
    </row>
    <row r="1036">
      <c r="A1036" s="50"/>
      <c r="D1036" s="51"/>
      <c r="E1036" s="32">
        <v>9.0</v>
      </c>
      <c r="F1036" s="18">
        <v>90.0</v>
      </c>
      <c r="G1036" s="21"/>
      <c r="H1036" s="21"/>
      <c r="I1036" s="21"/>
      <c r="J1036" s="21"/>
      <c r="K1036" s="21"/>
      <c r="L1036" s="21"/>
      <c r="M1036" s="21"/>
      <c r="N1036" s="21"/>
      <c r="O1036" s="21"/>
      <c r="P1036" s="21"/>
      <c r="Q1036" s="21"/>
      <c r="R1036" s="21"/>
      <c r="S1036" s="21"/>
      <c r="T1036" s="18">
        <v>2534.0</v>
      </c>
      <c r="U1036" s="21"/>
      <c r="V1036" s="21"/>
      <c r="W1036" s="21"/>
      <c r="X1036" s="21"/>
      <c r="Y1036" s="21"/>
      <c r="Z1036" s="21"/>
      <c r="AA1036" s="21"/>
      <c r="AB1036" s="21"/>
      <c r="AC1036" s="21"/>
      <c r="AD1036" s="21"/>
      <c r="AE1036" s="21"/>
      <c r="AF1036" s="21"/>
      <c r="AG1036" s="21"/>
      <c r="AH1036" s="21"/>
      <c r="AI1036" s="21"/>
      <c r="AJ1036" s="21"/>
      <c r="AK1036" s="21"/>
      <c r="AL1036" s="21"/>
      <c r="AM1036" s="21"/>
      <c r="AN1036" s="21"/>
      <c r="AO1036" s="21"/>
      <c r="AP1036" s="21"/>
      <c r="AQ1036" s="21"/>
      <c r="AR1036" s="21"/>
      <c r="AS1036" s="21"/>
      <c r="AT1036" s="21"/>
      <c r="AU1036" s="21"/>
      <c r="AV1036" s="21"/>
      <c r="AW1036" s="21"/>
      <c r="AX1036" s="21"/>
      <c r="AY1036" s="21"/>
      <c r="AZ1036" s="21"/>
      <c r="BA1036" s="21"/>
      <c r="BB1036" s="21"/>
      <c r="BC1036" s="21"/>
      <c r="BD1036" s="21"/>
      <c r="BE1036" s="21"/>
      <c r="BF1036" s="21"/>
      <c r="BG1036" s="21"/>
      <c r="BH1036" s="21"/>
      <c r="BI1036" s="21"/>
      <c r="BJ1036" s="21"/>
      <c r="BK1036" s="10"/>
    </row>
    <row r="1037">
      <c r="A1037" s="50"/>
      <c r="D1037" s="51"/>
      <c r="E1037" s="32">
        <v>10.0</v>
      </c>
      <c r="F1037" s="18">
        <v>99.0</v>
      </c>
      <c r="G1037" s="21"/>
      <c r="H1037" s="21"/>
      <c r="I1037" s="21"/>
      <c r="J1037" s="21"/>
      <c r="K1037" s="21"/>
      <c r="L1037" s="21"/>
      <c r="M1037" s="21"/>
      <c r="N1037" s="21"/>
      <c r="O1037" s="21"/>
      <c r="P1037" s="21"/>
      <c r="Q1037" s="21"/>
      <c r="R1037" s="21"/>
      <c r="S1037" s="21"/>
      <c r="T1037" s="18">
        <v>2786.0</v>
      </c>
      <c r="U1037" s="21"/>
      <c r="V1037" s="21"/>
      <c r="W1037" s="21"/>
      <c r="X1037" s="21"/>
      <c r="Y1037" s="21"/>
      <c r="Z1037" s="21"/>
      <c r="AA1037" s="21"/>
      <c r="AB1037" s="21"/>
      <c r="AC1037" s="21"/>
      <c r="AD1037" s="21"/>
      <c r="AE1037" s="21"/>
      <c r="AF1037" s="21"/>
      <c r="AG1037" s="21"/>
      <c r="AH1037" s="21"/>
      <c r="AI1037" s="21"/>
      <c r="AJ1037" s="21"/>
      <c r="AK1037" s="21"/>
      <c r="AL1037" s="21"/>
      <c r="AM1037" s="21"/>
      <c r="AN1037" s="21"/>
      <c r="AO1037" s="21"/>
      <c r="AP1037" s="21"/>
      <c r="AQ1037" s="21"/>
      <c r="AR1037" s="21"/>
      <c r="AS1037" s="21"/>
      <c r="AT1037" s="21"/>
      <c r="AU1037" s="21"/>
      <c r="AV1037" s="21"/>
      <c r="AW1037" s="21"/>
      <c r="AX1037" s="21"/>
      <c r="AY1037" s="21"/>
      <c r="AZ1037" s="21"/>
      <c r="BA1037" s="21"/>
      <c r="BB1037" s="21"/>
      <c r="BC1037" s="21"/>
      <c r="BD1037" s="21"/>
      <c r="BE1037" s="21"/>
      <c r="BF1037" s="21"/>
      <c r="BG1037" s="21"/>
      <c r="BH1037" s="21"/>
      <c r="BI1037" s="21"/>
      <c r="BJ1037" s="21"/>
      <c r="BK1037" s="10"/>
    </row>
    <row r="1038">
      <c r="A1038" s="50"/>
      <c r="D1038" s="51"/>
      <c r="E1038" s="32">
        <v>11.0</v>
      </c>
      <c r="F1038" s="18">
        <v>109.0</v>
      </c>
      <c r="G1038" s="21"/>
      <c r="H1038" s="21"/>
      <c r="I1038" s="21"/>
      <c r="J1038" s="21"/>
      <c r="K1038" s="21"/>
      <c r="L1038" s="21"/>
      <c r="M1038" s="21"/>
      <c r="N1038" s="21"/>
      <c r="O1038" s="21"/>
      <c r="P1038" s="21"/>
      <c r="Q1038" s="21"/>
      <c r="R1038" s="21"/>
      <c r="S1038" s="21"/>
      <c r="T1038" s="18">
        <v>3052.0</v>
      </c>
      <c r="U1038" s="21"/>
      <c r="V1038" s="21"/>
      <c r="W1038" s="21"/>
      <c r="X1038" s="21"/>
      <c r="Y1038" s="21"/>
      <c r="Z1038" s="21"/>
      <c r="AA1038" s="21"/>
      <c r="AB1038" s="21"/>
      <c r="AC1038" s="21"/>
      <c r="AD1038" s="21"/>
      <c r="AE1038" s="21"/>
      <c r="AF1038" s="21"/>
      <c r="AG1038" s="21"/>
      <c r="AH1038" s="21"/>
      <c r="AI1038" s="21"/>
      <c r="AJ1038" s="21"/>
      <c r="AK1038" s="21"/>
      <c r="AL1038" s="21"/>
      <c r="AM1038" s="21"/>
      <c r="AN1038" s="21"/>
      <c r="AO1038" s="21"/>
      <c r="AP1038" s="21"/>
      <c r="AQ1038" s="21"/>
      <c r="AR1038" s="21"/>
      <c r="AS1038" s="21"/>
      <c r="AT1038" s="21"/>
      <c r="AU1038" s="21"/>
      <c r="AV1038" s="21"/>
      <c r="AW1038" s="21"/>
      <c r="AX1038" s="21"/>
      <c r="AY1038" s="21"/>
      <c r="AZ1038" s="21"/>
      <c r="BA1038" s="21"/>
      <c r="BB1038" s="21"/>
      <c r="BC1038" s="21"/>
      <c r="BD1038" s="21"/>
      <c r="BE1038" s="21"/>
      <c r="BF1038" s="21"/>
      <c r="BG1038" s="21"/>
      <c r="BH1038" s="21"/>
      <c r="BI1038" s="21"/>
      <c r="BJ1038" s="21"/>
      <c r="BK1038" s="10"/>
    </row>
    <row r="1039">
      <c r="A1039" s="50"/>
      <c r="D1039" s="51"/>
      <c r="E1039" s="32">
        <v>12.0</v>
      </c>
      <c r="F1039" s="18">
        <v>119.0</v>
      </c>
      <c r="G1039" s="21"/>
      <c r="H1039" s="21"/>
      <c r="I1039" s="21"/>
      <c r="J1039" s="21"/>
      <c r="K1039" s="21"/>
      <c r="L1039" s="21"/>
      <c r="M1039" s="21"/>
      <c r="N1039" s="21"/>
      <c r="O1039" s="21"/>
      <c r="P1039" s="21"/>
      <c r="Q1039" s="21"/>
      <c r="R1039" s="21"/>
      <c r="S1039" s="21"/>
      <c r="T1039" s="18">
        <v>3346.0</v>
      </c>
      <c r="U1039" s="21"/>
      <c r="V1039" s="21"/>
      <c r="W1039" s="21"/>
      <c r="X1039" s="21"/>
      <c r="Y1039" s="21"/>
      <c r="Z1039" s="21"/>
      <c r="AA1039" s="21"/>
      <c r="AB1039" s="21"/>
      <c r="AC1039" s="21"/>
      <c r="AD1039" s="21"/>
      <c r="AE1039" s="21"/>
      <c r="AF1039" s="21"/>
      <c r="AG1039" s="21"/>
      <c r="AH1039" s="21"/>
      <c r="AI1039" s="21"/>
      <c r="AJ1039" s="21"/>
      <c r="AK1039" s="21"/>
      <c r="AL1039" s="21"/>
      <c r="AM1039" s="21"/>
      <c r="AN1039" s="21"/>
      <c r="AO1039" s="21"/>
      <c r="AP1039" s="21"/>
      <c r="AQ1039" s="21"/>
      <c r="AR1039" s="21"/>
      <c r="AS1039" s="21"/>
      <c r="AT1039" s="21"/>
      <c r="AU1039" s="21"/>
      <c r="AV1039" s="21"/>
      <c r="AW1039" s="21"/>
      <c r="AX1039" s="21"/>
      <c r="AY1039" s="21"/>
      <c r="AZ1039" s="21"/>
      <c r="BA1039" s="21"/>
      <c r="BB1039" s="21"/>
      <c r="BC1039" s="21"/>
      <c r="BD1039" s="21"/>
      <c r="BE1039" s="21"/>
      <c r="BF1039" s="21"/>
      <c r="BG1039" s="21"/>
      <c r="BH1039" s="21"/>
      <c r="BI1039" s="21"/>
      <c r="BJ1039" s="21"/>
      <c r="BK1039" s="10"/>
    </row>
    <row r="1040">
      <c r="A1040" s="52"/>
      <c r="B1040" s="53"/>
      <c r="C1040" s="53"/>
      <c r="D1040" s="54"/>
      <c r="E1040" s="32">
        <v>13.0</v>
      </c>
      <c r="F1040" s="18">
        <v>131.0</v>
      </c>
      <c r="G1040" s="22"/>
      <c r="H1040" s="22"/>
      <c r="I1040" s="22"/>
      <c r="J1040" s="22"/>
      <c r="K1040" s="22"/>
      <c r="L1040" s="22"/>
      <c r="M1040" s="22"/>
      <c r="N1040" s="22"/>
      <c r="O1040" s="22"/>
      <c r="P1040" s="22"/>
      <c r="Q1040" s="22"/>
      <c r="R1040" s="22"/>
      <c r="S1040" s="22"/>
      <c r="T1040" s="18">
        <v>3668.0</v>
      </c>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AV1040" s="22"/>
      <c r="AW1040" s="22"/>
      <c r="AX1040" s="22"/>
      <c r="AY1040" s="22"/>
      <c r="AZ1040" s="22"/>
      <c r="BA1040" s="22"/>
      <c r="BB1040" s="22"/>
      <c r="BC1040" s="22"/>
      <c r="BD1040" s="22"/>
      <c r="BE1040" s="22"/>
      <c r="BF1040" s="22"/>
      <c r="BG1040" s="22"/>
      <c r="BH1040" s="22"/>
      <c r="BI1040" s="22"/>
      <c r="BJ1040" s="22"/>
      <c r="BK1040" s="10"/>
    </row>
    <row r="1041">
      <c r="A1041" s="47" t="s">
        <v>118</v>
      </c>
      <c r="B1041" s="48"/>
      <c r="C1041" s="48"/>
      <c r="D1041" s="49"/>
      <c r="E1041" s="18">
        <v>3.0</v>
      </c>
      <c r="F1041" s="18">
        <v>159.0</v>
      </c>
      <c r="G1041" s="16" t="s">
        <v>85</v>
      </c>
      <c r="H1041" s="36" t="s">
        <v>85</v>
      </c>
      <c r="I1041" s="36" t="s">
        <v>85</v>
      </c>
      <c r="J1041" s="36" t="s">
        <v>85</v>
      </c>
      <c r="K1041" s="36" t="s">
        <v>85</v>
      </c>
      <c r="L1041" s="16" t="s">
        <v>85</v>
      </c>
      <c r="M1041" s="36" t="s">
        <v>85</v>
      </c>
      <c r="N1041" s="16" t="s">
        <v>85</v>
      </c>
      <c r="O1041" s="16" t="s">
        <v>85</v>
      </c>
      <c r="P1041" s="16" t="s">
        <v>85</v>
      </c>
      <c r="Q1041" s="16" t="s">
        <v>85</v>
      </c>
      <c r="R1041" s="16" t="s">
        <v>85</v>
      </c>
      <c r="S1041" s="16" t="s">
        <v>85</v>
      </c>
      <c r="T1041" s="18">
        <v>485.0</v>
      </c>
      <c r="U1041" s="16" t="s">
        <v>85</v>
      </c>
      <c r="V1041" s="36" t="s">
        <v>85</v>
      </c>
      <c r="W1041" s="16" t="s">
        <v>85</v>
      </c>
      <c r="X1041" s="16" t="s">
        <v>85</v>
      </c>
      <c r="Y1041" s="36" t="s">
        <v>85</v>
      </c>
      <c r="Z1041" s="36" t="s">
        <v>85</v>
      </c>
      <c r="AA1041" s="36" t="s">
        <v>85</v>
      </c>
      <c r="AB1041" s="16" t="s">
        <v>85</v>
      </c>
      <c r="AC1041" s="16" t="s">
        <v>85</v>
      </c>
      <c r="AD1041" s="16" t="s">
        <v>85</v>
      </c>
      <c r="AE1041" s="16" t="s">
        <v>106</v>
      </c>
      <c r="AF1041" s="16" t="s">
        <v>98</v>
      </c>
      <c r="AG1041" s="16" t="s">
        <v>90</v>
      </c>
      <c r="AH1041" s="16" t="s">
        <v>85</v>
      </c>
      <c r="AI1041" s="16" t="s">
        <v>104</v>
      </c>
      <c r="AJ1041" s="16" t="s">
        <v>85</v>
      </c>
      <c r="AK1041" s="16" t="s">
        <v>85</v>
      </c>
      <c r="AL1041" s="16" t="s">
        <v>85</v>
      </c>
      <c r="AM1041" s="16" t="s">
        <v>85</v>
      </c>
      <c r="AN1041" s="16" t="s">
        <v>85</v>
      </c>
      <c r="AO1041" s="16" t="s">
        <v>85</v>
      </c>
      <c r="AP1041" s="16" t="s">
        <v>85</v>
      </c>
      <c r="AQ1041" s="16" t="s">
        <v>85</v>
      </c>
      <c r="AR1041" s="16" t="s">
        <v>85</v>
      </c>
      <c r="AS1041" s="16" t="s">
        <v>85</v>
      </c>
      <c r="AT1041" s="16" t="s">
        <v>85</v>
      </c>
      <c r="AU1041" s="16" t="s">
        <v>85</v>
      </c>
      <c r="AV1041" s="16" t="s">
        <v>85</v>
      </c>
      <c r="AW1041" s="16" t="s">
        <v>85</v>
      </c>
      <c r="AX1041" s="16" t="s">
        <v>85</v>
      </c>
      <c r="AY1041" s="16" t="s">
        <v>85</v>
      </c>
      <c r="AZ1041" s="16" t="s">
        <v>85</v>
      </c>
      <c r="BA1041" s="16" t="s">
        <v>85</v>
      </c>
      <c r="BB1041" s="16" t="s">
        <v>85</v>
      </c>
      <c r="BC1041" s="16" t="s">
        <v>85</v>
      </c>
      <c r="BD1041" s="16" t="s">
        <v>85</v>
      </c>
      <c r="BE1041" s="16" t="s">
        <v>85</v>
      </c>
      <c r="BF1041" s="16" t="s">
        <v>85</v>
      </c>
      <c r="BG1041" s="16" t="s">
        <v>85</v>
      </c>
      <c r="BH1041" s="16" t="s">
        <v>85</v>
      </c>
      <c r="BI1041" s="16" t="s">
        <v>85</v>
      </c>
      <c r="BJ1041" s="16" t="s">
        <v>85</v>
      </c>
      <c r="BK1041" s="10"/>
    </row>
    <row r="1042">
      <c r="A1042" s="50"/>
      <c r="D1042" s="51"/>
      <c r="E1042" s="18">
        <v>4.0</v>
      </c>
      <c r="F1042" s="19">
        <v>174.0</v>
      </c>
      <c r="G1042" s="21"/>
      <c r="H1042" s="21"/>
      <c r="I1042" s="21"/>
      <c r="J1042" s="21"/>
      <c r="K1042" s="21"/>
      <c r="L1042" s="21"/>
      <c r="M1042" s="21"/>
      <c r="N1042" s="21"/>
      <c r="O1042" s="21"/>
      <c r="P1042" s="21"/>
      <c r="Q1042" s="21"/>
      <c r="R1042" s="21"/>
      <c r="S1042" s="21"/>
      <c r="T1042" s="19">
        <v>533.0</v>
      </c>
      <c r="U1042" s="21"/>
      <c r="V1042" s="21"/>
      <c r="W1042" s="21"/>
      <c r="X1042" s="21"/>
      <c r="Y1042" s="21"/>
      <c r="Z1042" s="21"/>
      <c r="AA1042" s="21"/>
      <c r="AB1042" s="21"/>
      <c r="AC1042" s="21"/>
      <c r="AD1042" s="21"/>
      <c r="AE1042" s="21"/>
      <c r="AF1042" s="21"/>
      <c r="AG1042" s="21"/>
      <c r="AH1042" s="21"/>
      <c r="AI1042" s="21"/>
      <c r="AJ1042" s="21"/>
      <c r="AK1042" s="21"/>
      <c r="AL1042" s="21"/>
      <c r="AM1042" s="21"/>
      <c r="AN1042" s="21"/>
      <c r="AO1042" s="21"/>
      <c r="AP1042" s="21"/>
      <c r="AQ1042" s="21"/>
      <c r="AR1042" s="21"/>
      <c r="AS1042" s="21"/>
      <c r="AT1042" s="21"/>
      <c r="AU1042" s="21"/>
      <c r="AV1042" s="21"/>
      <c r="AW1042" s="21"/>
      <c r="AX1042" s="21"/>
      <c r="AY1042" s="21"/>
      <c r="AZ1042" s="21"/>
      <c r="BA1042" s="21"/>
      <c r="BB1042" s="21"/>
      <c r="BC1042" s="21"/>
      <c r="BD1042" s="21"/>
      <c r="BE1042" s="21"/>
      <c r="BF1042" s="21"/>
      <c r="BG1042" s="21"/>
      <c r="BH1042" s="21"/>
      <c r="BI1042" s="21"/>
      <c r="BJ1042" s="21"/>
      <c r="BK1042" s="10"/>
    </row>
    <row r="1043">
      <c r="A1043" s="50"/>
      <c r="D1043" s="51"/>
      <c r="E1043" s="18">
        <v>5.0</v>
      </c>
      <c r="F1043" s="19">
        <v>192.0</v>
      </c>
      <c r="G1043" s="21"/>
      <c r="H1043" s="21"/>
      <c r="I1043" s="21"/>
      <c r="J1043" s="21"/>
      <c r="K1043" s="21"/>
      <c r="L1043" s="21"/>
      <c r="M1043" s="21"/>
      <c r="N1043" s="21"/>
      <c r="O1043" s="21"/>
      <c r="P1043" s="21"/>
      <c r="Q1043" s="21"/>
      <c r="R1043" s="21"/>
      <c r="S1043" s="21"/>
      <c r="T1043" s="19">
        <v>586.0</v>
      </c>
      <c r="U1043" s="21"/>
      <c r="V1043" s="21"/>
      <c r="W1043" s="21"/>
      <c r="X1043" s="21"/>
      <c r="Y1043" s="21"/>
      <c r="Z1043" s="21"/>
      <c r="AA1043" s="21"/>
      <c r="AB1043" s="21"/>
      <c r="AC1043" s="21"/>
      <c r="AD1043" s="21"/>
      <c r="AE1043" s="21"/>
      <c r="AF1043" s="21"/>
      <c r="AG1043" s="21"/>
      <c r="AH1043" s="21"/>
      <c r="AI1043" s="21"/>
      <c r="AJ1043" s="21"/>
      <c r="AK1043" s="21"/>
      <c r="AL1043" s="21"/>
      <c r="AM1043" s="21"/>
      <c r="AN1043" s="21"/>
      <c r="AO1043" s="21"/>
      <c r="AP1043" s="21"/>
      <c r="AQ1043" s="21"/>
      <c r="AR1043" s="21"/>
      <c r="AS1043" s="21"/>
      <c r="AT1043" s="21"/>
      <c r="AU1043" s="21"/>
      <c r="AV1043" s="21"/>
      <c r="AW1043" s="21"/>
      <c r="AX1043" s="21"/>
      <c r="AY1043" s="21"/>
      <c r="AZ1043" s="21"/>
      <c r="BA1043" s="21"/>
      <c r="BB1043" s="21"/>
      <c r="BC1043" s="21"/>
      <c r="BD1043" s="21"/>
      <c r="BE1043" s="21"/>
      <c r="BF1043" s="21"/>
      <c r="BG1043" s="21"/>
      <c r="BH1043" s="21"/>
      <c r="BI1043" s="21"/>
      <c r="BJ1043" s="21"/>
      <c r="BK1043" s="10"/>
    </row>
    <row r="1044">
      <c r="A1044" s="50"/>
      <c r="D1044" s="51"/>
      <c r="E1044" s="18">
        <v>6.0</v>
      </c>
      <c r="F1044" s="19">
        <v>211.0</v>
      </c>
      <c r="G1044" s="21"/>
      <c r="H1044" s="21"/>
      <c r="I1044" s="21"/>
      <c r="J1044" s="21"/>
      <c r="K1044" s="21"/>
      <c r="L1044" s="21"/>
      <c r="M1044" s="21"/>
      <c r="N1044" s="21"/>
      <c r="O1044" s="21"/>
      <c r="P1044" s="21"/>
      <c r="Q1044" s="21"/>
      <c r="R1044" s="21"/>
      <c r="S1044" s="21"/>
      <c r="T1044" s="19">
        <v>645.0</v>
      </c>
      <c r="U1044" s="21"/>
      <c r="V1044" s="21"/>
      <c r="W1044" s="21"/>
      <c r="X1044" s="21"/>
      <c r="Y1044" s="21"/>
      <c r="Z1044" s="21"/>
      <c r="AA1044" s="21"/>
      <c r="AB1044" s="21"/>
      <c r="AC1044" s="21"/>
      <c r="AD1044" s="21"/>
      <c r="AE1044" s="21"/>
      <c r="AF1044" s="21"/>
      <c r="AG1044" s="21"/>
      <c r="AH1044" s="21"/>
      <c r="AI1044" s="21"/>
      <c r="AJ1044" s="21"/>
      <c r="AK1044" s="21"/>
      <c r="AL1044" s="21"/>
      <c r="AM1044" s="21"/>
      <c r="AN1044" s="21"/>
      <c r="AO1044" s="21"/>
      <c r="AP1044" s="21"/>
      <c r="AQ1044" s="21"/>
      <c r="AR1044" s="21"/>
      <c r="AS1044" s="21"/>
      <c r="AT1044" s="21"/>
      <c r="AU1044" s="21"/>
      <c r="AV1044" s="21"/>
      <c r="AW1044" s="21"/>
      <c r="AX1044" s="21"/>
      <c r="AY1044" s="21"/>
      <c r="AZ1044" s="21"/>
      <c r="BA1044" s="21"/>
      <c r="BB1044" s="21"/>
      <c r="BC1044" s="21"/>
      <c r="BD1044" s="21"/>
      <c r="BE1044" s="21"/>
      <c r="BF1044" s="21"/>
      <c r="BG1044" s="21"/>
      <c r="BH1044" s="21"/>
      <c r="BI1044" s="21"/>
      <c r="BJ1044" s="21"/>
      <c r="BK1044" s="10"/>
    </row>
    <row r="1045">
      <c r="A1045" s="50"/>
      <c r="D1045" s="51"/>
      <c r="E1045" s="18">
        <v>7.0</v>
      </c>
      <c r="F1045" s="19">
        <v>232.0</v>
      </c>
      <c r="G1045" s="21"/>
      <c r="H1045" s="21"/>
      <c r="I1045" s="21"/>
      <c r="J1045" s="21"/>
      <c r="K1045" s="21"/>
      <c r="L1045" s="21"/>
      <c r="M1045" s="21"/>
      <c r="N1045" s="21"/>
      <c r="O1045" s="21"/>
      <c r="P1045" s="21"/>
      <c r="Q1045" s="21"/>
      <c r="R1045" s="21"/>
      <c r="S1045" s="21"/>
      <c r="T1045" s="19">
        <v>708.0</v>
      </c>
      <c r="U1045" s="21"/>
      <c r="V1045" s="21"/>
      <c r="W1045" s="21"/>
      <c r="X1045" s="21"/>
      <c r="Y1045" s="21"/>
      <c r="Z1045" s="21"/>
      <c r="AA1045" s="21"/>
      <c r="AB1045" s="21"/>
      <c r="AC1045" s="21"/>
      <c r="AD1045" s="21"/>
      <c r="AE1045" s="21"/>
      <c r="AF1045" s="21"/>
      <c r="AG1045" s="21"/>
      <c r="AH1045" s="21"/>
      <c r="AI1045" s="21"/>
      <c r="AJ1045" s="21"/>
      <c r="AK1045" s="21"/>
      <c r="AL1045" s="21"/>
      <c r="AM1045" s="21"/>
      <c r="AN1045" s="21"/>
      <c r="AO1045" s="21"/>
      <c r="AP1045" s="21"/>
      <c r="AQ1045" s="21"/>
      <c r="AR1045" s="21"/>
      <c r="AS1045" s="21"/>
      <c r="AT1045" s="21"/>
      <c r="AU1045" s="21"/>
      <c r="AV1045" s="21"/>
      <c r="AW1045" s="21"/>
      <c r="AX1045" s="21"/>
      <c r="AY1045" s="21"/>
      <c r="AZ1045" s="21"/>
      <c r="BA1045" s="21"/>
      <c r="BB1045" s="21"/>
      <c r="BC1045" s="21"/>
      <c r="BD1045" s="21"/>
      <c r="BE1045" s="21"/>
      <c r="BF1045" s="21"/>
      <c r="BG1045" s="21"/>
      <c r="BH1045" s="21"/>
      <c r="BI1045" s="21"/>
      <c r="BJ1045" s="21"/>
      <c r="BK1045" s="10"/>
    </row>
    <row r="1046">
      <c r="A1046" s="50"/>
      <c r="D1046" s="51"/>
      <c r="E1046" s="18">
        <v>8.0</v>
      </c>
      <c r="F1046" s="19">
        <v>254.0</v>
      </c>
      <c r="G1046" s="21"/>
      <c r="H1046" s="21"/>
      <c r="I1046" s="21"/>
      <c r="J1046" s="21"/>
      <c r="K1046" s="21"/>
      <c r="L1046" s="21"/>
      <c r="M1046" s="21"/>
      <c r="N1046" s="21"/>
      <c r="O1046" s="21"/>
      <c r="P1046" s="21"/>
      <c r="Q1046" s="21"/>
      <c r="R1046" s="21"/>
      <c r="S1046" s="21"/>
      <c r="T1046" s="19">
        <v>776.0</v>
      </c>
      <c r="U1046" s="21"/>
      <c r="V1046" s="21"/>
      <c r="W1046" s="21"/>
      <c r="X1046" s="21"/>
      <c r="Y1046" s="21"/>
      <c r="Z1046" s="21"/>
      <c r="AA1046" s="21"/>
      <c r="AB1046" s="21"/>
      <c r="AC1046" s="21"/>
      <c r="AD1046" s="21"/>
      <c r="AE1046" s="21"/>
      <c r="AF1046" s="21"/>
      <c r="AG1046" s="21"/>
      <c r="AH1046" s="21"/>
      <c r="AI1046" s="21"/>
      <c r="AJ1046" s="21"/>
      <c r="AK1046" s="21"/>
      <c r="AL1046" s="21"/>
      <c r="AM1046" s="21"/>
      <c r="AN1046" s="21"/>
      <c r="AO1046" s="21"/>
      <c r="AP1046" s="21"/>
      <c r="AQ1046" s="21"/>
      <c r="AR1046" s="21"/>
      <c r="AS1046" s="21"/>
      <c r="AT1046" s="21"/>
      <c r="AU1046" s="21"/>
      <c r="AV1046" s="21"/>
      <c r="AW1046" s="21"/>
      <c r="AX1046" s="21"/>
      <c r="AY1046" s="21"/>
      <c r="AZ1046" s="21"/>
      <c r="BA1046" s="21"/>
      <c r="BB1046" s="21"/>
      <c r="BC1046" s="21"/>
      <c r="BD1046" s="21"/>
      <c r="BE1046" s="21"/>
      <c r="BF1046" s="21"/>
      <c r="BG1046" s="21"/>
      <c r="BH1046" s="21"/>
      <c r="BI1046" s="21"/>
      <c r="BJ1046" s="21"/>
      <c r="BK1046" s="10"/>
    </row>
    <row r="1047">
      <c r="A1047" s="50"/>
      <c r="D1047" s="51"/>
      <c r="E1047" s="18">
        <v>9.0</v>
      </c>
      <c r="F1047" s="19">
        <v>279.0</v>
      </c>
      <c r="G1047" s="21"/>
      <c r="H1047" s="21"/>
      <c r="I1047" s="21"/>
      <c r="J1047" s="21"/>
      <c r="K1047" s="21"/>
      <c r="L1047" s="21"/>
      <c r="M1047" s="21"/>
      <c r="N1047" s="21"/>
      <c r="O1047" s="21"/>
      <c r="P1047" s="21"/>
      <c r="Q1047" s="21"/>
      <c r="R1047" s="21"/>
      <c r="S1047" s="21"/>
      <c r="T1047" s="19">
        <v>853.0</v>
      </c>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21"/>
      <c r="AP1047" s="21"/>
      <c r="AQ1047" s="21"/>
      <c r="AR1047" s="21"/>
      <c r="AS1047" s="21"/>
      <c r="AT1047" s="21"/>
      <c r="AU1047" s="21"/>
      <c r="AV1047" s="21"/>
      <c r="AW1047" s="21"/>
      <c r="AX1047" s="21"/>
      <c r="AY1047" s="21"/>
      <c r="AZ1047" s="21"/>
      <c r="BA1047" s="21"/>
      <c r="BB1047" s="21"/>
      <c r="BC1047" s="21"/>
      <c r="BD1047" s="21"/>
      <c r="BE1047" s="21"/>
      <c r="BF1047" s="21"/>
      <c r="BG1047" s="21"/>
      <c r="BH1047" s="21"/>
      <c r="BI1047" s="21"/>
      <c r="BJ1047" s="21"/>
      <c r="BK1047" s="10"/>
    </row>
    <row r="1048">
      <c r="A1048" s="50"/>
      <c r="D1048" s="51"/>
      <c r="E1048" s="18">
        <v>10.0</v>
      </c>
      <c r="F1048" s="19">
        <v>306.0</v>
      </c>
      <c r="G1048" s="21"/>
      <c r="H1048" s="21"/>
      <c r="I1048" s="21"/>
      <c r="J1048" s="21"/>
      <c r="K1048" s="21"/>
      <c r="L1048" s="21"/>
      <c r="M1048" s="21"/>
      <c r="N1048" s="21"/>
      <c r="O1048" s="21"/>
      <c r="P1048" s="21"/>
      <c r="Q1048" s="21"/>
      <c r="R1048" s="21"/>
      <c r="S1048" s="21"/>
      <c r="T1048" s="19">
        <v>936.0</v>
      </c>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21"/>
      <c r="AP1048" s="21"/>
      <c r="AQ1048" s="21"/>
      <c r="AR1048" s="21"/>
      <c r="AS1048" s="21"/>
      <c r="AT1048" s="21"/>
      <c r="AU1048" s="21"/>
      <c r="AV1048" s="21"/>
      <c r="AW1048" s="21"/>
      <c r="AX1048" s="21"/>
      <c r="AY1048" s="21"/>
      <c r="AZ1048" s="21"/>
      <c r="BA1048" s="21"/>
      <c r="BB1048" s="21"/>
      <c r="BC1048" s="21"/>
      <c r="BD1048" s="21"/>
      <c r="BE1048" s="21"/>
      <c r="BF1048" s="21"/>
      <c r="BG1048" s="21"/>
      <c r="BH1048" s="21"/>
      <c r="BI1048" s="21"/>
      <c r="BJ1048" s="21"/>
      <c r="BK1048" s="10"/>
    </row>
    <row r="1049">
      <c r="A1049" s="50"/>
      <c r="D1049" s="51"/>
      <c r="E1049" s="18">
        <v>11.0</v>
      </c>
      <c r="F1049" s="19">
        <v>337.0</v>
      </c>
      <c r="G1049" s="21"/>
      <c r="H1049" s="21"/>
      <c r="I1049" s="21"/>
      <c r="J1049" s="21"/>
      <c r="K1049" s="21"/>
      <c r="L1049" s="21"/>
      <c r="M1049" s="21"/>
      <c r="N1049" s="21"/>
      <c r="O1049" s="21"/>
      <c r="P1049" s="21"/>
      <c r="Q1049" s="21"/>
      <c r="R1049" s="21"/>
      <c r="S1049" s="21"/>
      <c r="T1049" s="19">
        <v>1028.0</v>
      </c>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21"/>
      <c r="AP1049" s="21"/>
      <c r="AQ1049" s="21"/>
      <c r="AR1049" s="21"/>
      <c r="AS1049" s="21"/>
      <c r="AT1049" s="21"/>
      <c r="AU1049" s="21"/>
      <c r="AV1049" s="21"/>
      <c r="AW1049" s="21"/>
      <c r="AX1049" s="21"/>
      <c r="AY1049" s="21"/>
      <c r="AZ1049" s="21"/>
      <c r="BA1049" s="21"/>
      <c r="BB1049" s="21"/>
      <c r="BC1049" s="21"/>
      <c r="BD1049" s="21"/>
      <c r="BE1049" s="21"/>
      <c r="BF1049" s="21"/>
      <c r="BG1049" s="21"/>
      <c r="BH1049" s="21"/>
      <c r="BI1049" s="21"/>
      <c r="BJ1049" s="21"/>
      <c r="BK1049" s="10"/>
    </row>
    <row r="1050">
      <c r="A1050" s="50"/>
      <c r="D1050" s="51"/>
      <c r="E1050" s="18">
        <v>12.0</v>
      </c>
      <c r="F1050" s="19">
        <v>370.0</v>
      </c>
      <c r="G1050" s="21"/>
      <c r="H1050" s="21"/>
      <c r="I1050" s="21"/>
      <c r="J1050" s="21"/>
      <c r="K1050" s="21"/>
      <c r="L1050" s="21"/>
      <c r="M1050" s="21"/>
      <c r="N1050" s="21"/>
      <c r="O1050" s="21"/>
      <c r="P1050" s="21"/>
      <c r="Q1050" s="21"/>
      <c r="R1050" s="21"/>
      <c r="S1050" s="21"/>
      <c r="T1050" s="19">
        <v>1130.0</v>
      </c>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21"/>
      <c r="AP1050" s="21"/>
      <c r="AQ1050" s="21"/>
      <c r="AR1050" s="21"/>
      <c r="AS1050" s="21"/>
      <c r="AT1050" s="21"/>
      <c r="AU1050" s="21"/>
      <c r="AV1050" s="21"/>
      <c r="AW1050" s="21"/>
      <c r="AX1050" s="21"/>
      <c r="AY1050" s="21"/>
      <c r="AZ1050" s="21"/>
      <c r="BA1050" s="21"/>
      <c r="BB1050" s="21"/>
      <c r="BC1050" s="21"/>
      <c r="BD1050" s="21"/>
      <c r="BE1050" s="21"/>
      <c r="BF1050" s="21"/>
      <c r="BG1050" s="21"/>
      <c r="BH1050" s="21"/>
      <c r="BI1050" s="21"/>
      <c r="BJ1050" s="21"/>
      <c r="BK1050" s="10"/>
    </row>
    <row r="1051">
      <c r="A1051" s="52"/>
      <c r="B1051" s="53"/>
      <c r="C1051" s="53"/>
      <c r="D1051" s="54"/>
      <c r="E1051" s="18">
        <v>13.0</v>
      </c>
      <c r="F1051" s="19">
        <v>407.0</v>
      </c>
      <c r="G1051" s="22"/>
      <c r="H1051" s="22"/>
      <c r="I1051" s="22"/>
      <c r="J1051" s="22"/>
      <c r="K1051" s="22"/>
      <c r="L1051" s="22"/>
      <c r="M1051" s="22"/>
      <c r="N1051" s="22"/>
      <c r="O1051" s="22"/>
      <c r="P1051" s="22"/>
      <c r="Q1051" s="22"/>
      <c r="R1051" s="22"/>
      <c r="S1051" s="22"/>
      <c r="T1051" s="19">
        <v>1241.0</v>
      </c>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AV1051" s="22"/>
      <c r="AW1051" s="22"/>
      <c r="AX1051" s="22"/>
      <c r="AY1051" s="22"/>
      <c r="AZ1051" s="22"/>
      <c r="BA1051" s="22"/>
      <c r="BB1051" s="22"/>
      <c r="BC1051" s="22"/>
      <c r="BD1051" s="22"/>
      <c r="BE1051" s="22"/>
      <c r="BF1051" s="22"/>
      <c r="BG1051" s="22"/>
      <c r="BH1051" s="22"/>
      <c r="BI1051" s="22"/>
      <c r="BJ1051" s="22"/>
      <c r="BK1051" s="10"/>
    </row>
    <row r="1052">
      <c r="A1052" s="47" t="s">
        <v>407</v>
      </c>
      <c r="B1052" s="48"/>
      <c r="C1052" s="48"/>
      <c r="D1052" s="49"/>
      <c r="E1052" s="18">
        <v>1.0</v>
      </c>
      <c r="F1052" s="18">
        <v>32.0</v>
      </c>
      <c r="G1052" s="16" t="s">
        <v>85</v>
      </c>
      <c r="H1052" s="16" t="s">
        <v>85</v>
      </c>
      <c r="I1052" s="16" t="s">
        <v>85</v>
      </c>
      <c r="J1052" s="16" t="s">
        <v>85</v>
      </c>
      <c r="K1052" s="16" t="s">
        <v>85</v>
      </c>
      <c r="L1052" s="16" t="s">
        <v>85</v>
      </c>
      <c r="M1052" s="16" t="s">
        <v>85</v>
      </c>
      <c r="N1052" s="16" t="s">
        <v>85</v>
      </c>
      <c r="O1052" s="16" t="s">
        <v>85</v>
      </c>
      <c r="P1052" s="16" t="s">
        <v>85</v>
      </c>
      <c r="Q1052" s="16" t="s">
        <v>85</v>
      </c>
      <c r="R1052" s="16" t="s">
        <v>85</v>
      </c>
      <c r="S1052" s="16" t="s">
        <v>85</v>
      </c>
      <c r="T1052" s="18">
        <v>52.0</v>
      </c>
      <c r="U1052" s="16" t="s">
        <v>85</v>
      </c>
      <c r="V1052" s="16" t="s">
        <v>85</v>
      </c>
      <c r="W1052" s="16" t="s">
        <v>85</v>
      </c>
      <c r="X1052" s="16" t="s">
        <v>85</v>
      </c>
      <c r="Y1052" s="16" t="s">
        <v>85</v>
      </c>
      <c r="Z1052" s="16" t="s">
        <v>85</v>
      </c>
      <c r="AA1052" s="16" t="s">
        <v>85</v>
      </c>
      <c r="AB1052" s="16" t="s">
        <v>85</v>
      </c>
      <c r="AC1052" s="16" t="s">
        <v>85</v>
      </c>
      <c r="AD1052" s="16" t="s">
        <v>85</v>
      </c>
      <c r="AE1052" s="16" t="s">
        <v>103</v>
      </c>
      <c r="AF1052" s="16" t="s">
        <v>89</v>
      </c>
      <c r="AG1052" s="16" t="s">
        <v>114</v>
      </c>
      <c r="AH1052" s="16" t="s">
        <v>85</v>
      </c>
      <c r="AI1052" s="16">
        <v>5.5</v>
      </c>
      <c r="AJ1052" s="16" t="s">
        <v>85</v>
      </c>
      <c r="AK1052" s="16" t="s">
        <v>85</v>
      </c>
      <c r="AL1052" s="16" t="s">
        <v>85</v>
      </c>
      <c r="AM1052" s="16" t="s">
        <v>85</v>
      </c>
      <c r="AN1052" s="16" t="s">
        <v>85</v>
      </c>
      <c r="AO1052" s="16" t="s">
        <v>85</v>
      </c>
      <c r="AP1052" s="16" t="s">
        <v>85</v>
      </c>
      <c r="AQ1052" s="16" t="s">
        <v>85</v>
      </c>
      <c r="AR1052" s="16" t="s">
        <v>85</v>
      </c>
      <c r="AS1052" s="16" t="s">
        <v>85</v>
      </c>
      <c r="AT1052" s="16" t="s">
        <v>85</v>
      </c>
      <c r="AU1052" s="16" t="s">
        <v>85</v>
      </c>
      <c r="AV1052" s="16" t="s">
        <v>85</v>
      </c>
      <c r="AW1052" s="16" t="s">
        <v>85</v>
      </c>
      <c r="AX1052" s="16" t="s">
        <v>85</v>
      </c>
      <c r="AY1052" s="16" t="s">
        <v>85</v>
      </c>
      <c r="AZ1052" s="16" t="s">
        <v>85</v>
      </c>
      <c r="BA1052" s="16" t="s">
        <v>85</v>
      </c>
      <c r="BB1052" s="16" t="s">
        <v>85</v>
      </c>
      <c r="BC1052" s="16" t="s">
        <v>85</v>
      </c>
      <c r="BD1052" s="16" t="s">
        <v>85</v>
      </c>
      <c r="BE1052" s="16" t="s">
        <v>85</v>
      </c>
      <c r="BF1052" s="16" t="s">
        <v>85</v>
      </c>
      <c r="BG1052" s="16" t="s">
        <v>85</v>
      </c>
      <c r="BH1052" s="16" t="s">
        <v>85</v>
      </c>
      <c r="BI1052" s="16" t="s">
        <v>85</v>
      </c>
      <c r="BJ1052" s="16" t="s">
        <v>85</v>
      </c>
      <c r="BK1052" s="10"/>
    </row>
    <row r="1053">
      <c r="A1053" s="50"/>
      <c r="D1053" s="51"/>
      <c r="E1053" s="18">
        <v>2.0</v>
      </c>
      <c r="F1053" s="18">
        <v>35.0</v>
      </c>
      <c r="G1053" s="21"/>
      <c r="H1053" s="21"/>
      <c r="I1053" s="21"/>
      <c r="J1053" s="21"/>
      <c r="K1053" s="21"/>
      <c r="L1053" s="21"/>
      <c r="M1053" s="21"/>
      <c r="N1053" s="21"/>
      <c r="O1053" s="21"/>
      <c r="P1053" s="21"/>
      <c r="Q1053" s="21"/>
      <c r="R1053" s="21"/>
      <c r="S1053" s="21"/>
      <c r="T1053" s="18">
        <v>57.0</v>
      </c>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21"/>
      <c r="AP1053" s="21"/>
      <c r="AQ1053" s="21"/>
      <c r="AR1053" s="21"/>
      <c r="AS1053" s="21"/>
      <c r="AT1053" s="21"/>
      <c r="AU1053" s="21"/>
      <c r="AV1053" s="21"/>
      <c r="AW1053" s="21"/>
      <c r="AX1053" s="21"/>
      <c r="AY1053" s="21"/>
      <c r="AZ1053" s="21"/>
      <c r="BA1053" s="21"/>
      <c r="BB1053" s="21"/>
      <c r="BC1053" s="21"/>
      <c r="BD1053" s="21"/>
      <c r="BE1053" s="21"/>
      <c r="BF1053" s="21"/>
      <c r="BG1053" s="21"/>
      <c r="BH1053" s="21"/>
      <c r="BI1053" s="21"/>
      <c r="BJ1053" s="21"/>
      <c r="BK1053" s="10"/>
    </row>
    <row r="1054">
      <c r="A1054" s="50"/>
      <c r="D1054" s="51"/>
      <c r="E1054" s="18">
        <v>3.0</v>
      </c>
      <c r="F1054" s="18">
        <v>38.0</v>
      </c>
      <c r="G1054" s="21"/>
      <c r="H1054" s="21"/>
      <c r="I1054" s="21"/>
      <c r="J1054" s="21"/>
      <c r="K1054" s="21"/>
      <c r="L1054" s="21"/>
      <c r="M1054" s="21"/>
      <c r="N1054" s="21"/>
      <c r="O1054" s="21"/>
      <c r="P1054" s="21"/>
      <c r="Q1054" s="21"/>
      <c r="R1054" s="21"/>
      <c r="S1054" s="21"/>
      <c r="T1054" s="18">
        <v>62.0</v>
      </c>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21"/>
      <c r="AP1054" s="21"/>
      <c r="AQ1054" s="21"/>
      <c r="AR1054" s="21"/>
      <c r="AS1054" s="21"/>
      <c r="AT1054" s="21"/>
      <c r="AU1054" s="21"/>
      <c r="AV1054" s="21"/>
      <c r="AW1054" s="21"/>
      <c r="AX1054" s="21"/>
      <c r="AY1054" s="21"/>
      <c r="AZ1054" s="21"/>
      <c r="BA1054" s="21"/>
      <c r="BB1054" s="21"/>
      <c r="BC1054" s="21"/>
      <c r="BD1054" s="21"/>
      <c r="BE1054" s="21"/>
      <c r="BF1054" s="21"/>
      <c r="BG1054" s="21"/>
      <c r="BH1054" s="21"/>
      <c r="BI1054" s="21"/>
      <c r="BJ1054" s="21"/>
      <c r="BK1054" s="10"/>
    </row>
    <row r="1055">
      <c r="A1055" s="50"/>
      <c r="D1055" s="51"/>
      <c r="E1055" s="18">
        <v>4.0</v>
      </c>
      <c r="F1055" s="18">
        <v>42.0</v>
      </c>
      <c r="G1055" s="21"/>
      <c r="H1055" s="21"/>
      <c r="I1055" s="21"/>
      <c r="J1055" s="21"/>
      <c r="K1055" s="21"/>
      <c r="L1055" s="21"/>
      <c r="M1055" s="21"/>
      <c r="N1055" s="21"/>
      <c r="O1055" s="21"/>
      <c r="P1055" s="21"/>
      <c r="Q1055" s="21"/>
      <c r="R1055" s="21"/>
      <c r="S1055" s="21"/>
      <c r="T1055" s="18">
        <v>69.0</v>
      </c>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21"/>
      <c r="AP1055" s="21"/>
      <c r="AQ1055" s="21"/>
      <c r="AR1055" s="21"/>
      <c r="AS1055" s="21"/>
      <c r="AT1055" s="21"/>
      <c r="AU1055" s="21"/>
      <c r="AV1055" s="21"/>
      <c r="AW1055" s="21"/>
      <c r="AX1055" s="21"/>
      <c r="AY1055" s="21"/>
      <c r="AZ1055" s="21"/>
      <c r="BA1055" s="21"/>
      <c r="BB1055" s="21"/>
      <c r="BC1055" s="21"/>
      <c r="BD1055" s="21"/>
      <c r="BE1055" s="21"/>
      <c r="BF1055" s="21"/>
      <c r="BG1055" s="21"/>
      <c r="BH1055" s="21"/>
      <c r="BI1055" s="21"/>
      <c r="BJ1055" s="21"/>
      <c r="BK1055" s="10"/>
    </row>
    <row r="1056">
      <c r="A1056" s="50"/>
      <c r="D1056" s="51"/>
      <c r="E1056" s="18">
        <v>5.0</v>
      </c>
      <c r="F1056" s="18">
        <v>46.0</v>
      </c>
      <c r="G1056" s="21"/>
      <c r="H1056" s="21"/>
      <c r="I1056" s="21"/>
      <c r="J1056" s="21"/>
      <c r="K1056" s="21"/>
      <c r="L1056" s="21"/>
      <c r="M1056" s="21"/>
      <c r="N1056" s="21"/>
      <c r="O1056" s="21"/>
      <c r="P1056" s="21"/>
      <c r="Q1056" s="21"/>
      <c r="R1056" s="21"/>
      <c r="S1056" s="21"/>
      <c r="T1056" s="18">
        <v>75.0</v>
      </c>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21"/>
      <c r="AP1056" s="21"/>
      <c r="AQ1056" s="21"/>
      <c r="AR1056" s="21"/>
      <c r="AS1056" s="21"/>
      <c r="AT1056" s="21"/>
      <c r="AU1056" s="21"/>
      <c r="AV1056" s="21"/>
      <c r="AW1056" s="21"/>
      <c r="AX1056" s="21"/>
      <c r="AY1056" s="21"/>
      <c r="AZ1056" s="21"/>
      <c r="BA1056" s="21"/>
      <c r="BB1056" s="21"/>
      <c r="BC1056" s="21"/>
      <c r="BD1056" s="21"/>
      <c r="BE1056" s="21"/>
      <c r="BF1056" s="21"/>
      <c r="BG1056" s="21"/>
      <c r="BH1056" s="21"/>
      <c r="BI1056" s="21"/>
      <c r="BJ1056" s="21"/>
      <c r="BK1056" s="10"/>
    </row>
    <row r="1057">
      <c r="A1057" s="50"/>
      <c r="D1057" s="51"/>
      <c r="E1057" s="18">
        <v>6.0</v>
      </c>
      <c r="F1057" s="18">
        <v>51.0</v>
      </c>
      <c r="G1057" s="21"/>
      <c r="H1057" s="21"/>
      <c r="I1057" s="21"/>
      <c r="J1057" s="21"/>
      <c r="K1057" s="21"/>
      <c r="L1057" s="21"/>
      <c r="M1057" s="21"/>
      <c r="N1057" s="21"/>
      <c r="O1057" s="21"/>
      <c r="P1057" s="21"/>
      <c r="Q1057" s="21"/>
      <c r="R1057" s="21"/>
      <c r="S1057" s="21"/>
      <c r="T1057" s="18">
        <v>83.0</v>
      </c>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21"/>
      <c r="AP1057" s="21"/>
      <c r="AQ1057" s="21"/>
      <c r="AR1057" s="21"/>
      <c r="AS1057" s="21"/>
      <c r="AT1057" s="21"/>
      <c r="AU1057" s="21"/>
      <c r="AV1057" s="21"/>
      <c r="AW1057" s="21"/>
      <c r="AX1057" s="21"/>
      <c r="AY1057" s="21"/>
      <c r="AZ1057" s="21"/>
      <c r="BA1057" s="21"/>
      <c r="BB1057" s="21"/>
      <c r="BC1057" s="21"/>
      <c r="BD1057" s="21"/>
      <c r="BE1057" s="21"/>
      <c r="BF1057" s="21"/>
      <c r="BG1057" s="21"/>
      <c r="BH1057" s="21"/>
      <c r="BI1057" s="21"/>
      <c r="BJ1057" s="21"/>
      <c r="BK1057" s="10"/>
    </row>
    <row r="1058">
      <c r="A1058" s="50"/>
      <c r="D1058" s="51"/>
      <c r="E1058" s="18">
        <v>7.0</v>
      </c>
      <c r="F1058" s="18">
        <v>56.0</v>
      </c>
      <c r="G1058" s="21"/>
      <c r="H1058" s="21"/>
      <c r="I1058" s="21"/>
      <c r="J1058" s="21"/>
      <c r="K1058" s="21"/>
      <c r="L1058" s="21"/>
      <c r="M1058" s="21"/>
      <c r="N1058" s="21"/>
      <c r="O1058" s="21"/>
      <c r="P1058" s="21"/>
      <c r="Q1058" s="21"/>
      <c r="R1058" s="21"/>
      <c r="S1058" s="21"/>
      <c r="T1058" s="18">
        <v>91.0</v>
      </c>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21"/>
      <c r="AP1058" s="21"/>
      <c r="AQ1058" s="21"/>
      <c r="AR1058" s="21"/>
      <c r="AS1058" s="21"/>
      <c r="AT1058" s="21"/>
      <c r="AU1058" s="21"/>
      <c r="AV1058" s="21"/>
      <c r="AW1058" s="21"/>
      <c r="AX1058" s="21"/>
      <c r="AY1058" s="21"/>
      <c r="AZ1058" s="21"/>
      <c r="BA1058" s="21"/>
      <c r="BB1058" s="21"/>
      <c r="BC1058" s="21"/>
      <c r="BD1058" s="21"/>
      <c r="BE1058" s="21"/>
      <c r="BF1058" s="21"/>
      <c r="BG1058" s="21"/>
      <c r="BH1058" s="21"/>
      <c r="BI1058" s="21"/>
      <c r="BJ1058" s="21"/>
      <c r="BK1058" s="10"/>
    </row>
    <row r="1059">
      <c r="A1059" s="50"/>
      <c r="D1059" s="51"/>
      <c r="E1059" s="18">
        <v>8.0</v>
      </c>
      <c r="F1059" s="18">
        <v>61.0</v>
      </c>
      <c r="G1059" s="21"/>
      <c r="H1059" s="21"/>
      <c r="I1059" s="21"/>
      <c r="J1059" s="21"/>
      <c r="K1059" s="21"/>
      <c r="L1059" s="21"/>
      <c r="M1059" s="21"/>
      <c r="N1059" s="21"/>
      <c r="O1059" s="21"/>
      <c r="P1059" s="21"/>
      <c r="Q1059" s="21"/>
      <c r="R1059" s="21"/>
      <c r="S1059" s="21"/>
      <c r="T1059" s="18">
        <v>100.0</v>
      </c>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21"/>
      <c r="AP1059" s="21"/>
      <c r="AQ1059" s="21"/>
      <c r="AR1059" s="21"/>
      <c r="AS1059" s="21"/>
      <c r="AT1059" s="21"/>
      <c r="AU1059" s="21"/>
      <c r="AV1059" s="21"/>
      <c r="AW1059" s="21"/>
      <c r="AX1059" s="21"/>
      <c r="AY1059" s="21"/>
      <c r="AZ1059" s="21"/>
      <c r="BA1059" s="21"/>
      <c r="BB1059" s="21"/>
      <c r="BC1059" s="21"/>
      <c r="BD1059" s="21"/>
      <c r="BE1059" s="21"/>
      <c r="BF1059" s="21"/>
      <c r="BG1059" s="21"/>
      <c r="BH1059" s="21"/>
      <c r="BI1059" s="21"/>
      <c r="BJ1059" s="21"/>
      <c r="BK1059" s="10"/>
    </row>
    <row r="1060">
      <c r="A1060" s="50"/>
      <c r="D1060" s="51"/>
      <c r="E1060" s="18">
        <v>9.0</v>
      </c>
      <c r="F1060" s="18">
        <v>67.0</v>
      </c>
      <c r="G1060" s="21"/>
      <c r="H1060" s="21"/>
      <c r="I1060" s="21"/>
      <c r="J1060" s="21"/>
      <c r="K1060" s="21"/>
      <c r="L1060" s="21"/>
      <c r="M1060" s="21"/>
      <c r="N1060" s="21"/>
      <c r="O1060" s="21"/>
      <c r="P1060" s="21"/>
      <c r="Q1060" s="21"/>
      <c r="R1060" s="21"/>
      <c r="S1060" s="21"/>
      <c r="T1060" s="18">
        <v>110.0</v>
      </c>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21"/>
      <c r="AP1060" s="21"/>
      <c r="AQ1060" s="21"/>
      <c r="AR1060" s="21"/>
      <c r="AS1060" s="21"/>
      <c r="AT1060" s="21"/>
      <c r="AU1060" s="21"/>
      <c r="AV1060" s="21"/>
      <c r="AW1060" s="21"/>
      <c r="AX1060" s="21"/>
      <c r="AY1060" s="21"/>
      <c r="AZ1060" s="21"/>
      <c r="BA1060" s="21"/>
      <c r="BB1060" s="21"/>
      <c r="BC1060" s="21"/>
      <c r="BD1060" s="21"/>
      <c r="BE1060" s="21"/>
      <c r="BF1060" s="21"/>
      <c r="BG1060" s="21"/>
      <c r="BH1060" s="21"/>
      <c r="BI1060" s="21"/>
      <c r="BJ1060" s="21"/>
      <c r="BK1060" s="10"/>
    </row>
    <row r="1061">
      <c r="A1061" s="50"/>
      <c r="D1061" s="51"/>
      <c r="E1061" s="18">
        <v>10.0</v>
      </c>
      <c r="F1061" s="18">
        <v>74.0</v>
      </c>
      <c r="G1061" s="21"/>
      <c r="H1061" s="21"/>
      <c r="I1061" s="21"/>
      <c r="J1061" s="21"/>
      <c r="K1061" s="21"/>
      <c r="L1061" s="21"/>
      <c r="M1061" s="21"/>
      <c r="N1061" s="21"/>
      <c r="O1061" s="21"/>
      <c r="P1061" s="21"/>
      <c r="Q1061" s="21"/>
      <c r="R1061" s="21"/>
      <c r="S1061" s="21"/>
      <c r="T1061" s="18">
        <v>121.0</v>
      </c>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21"/>
      <c r="AP1061" s="21"/>
      <c r="AQ1061" s="21"/>
      <c r="AR1061" s="21"/>
      <c r="AS1061" s="21"/>
      <c r="AT1061" s="21"/>
      <c r="AU1061" s="21"/>
      <c r="AV1061" s="21"/>
      <c r="AW1061" s="21"/>
      <c r="AX1061" s="21"/>
      <c r="AY1061" s="21"/>
      <c r="AZ1061" s="21"/>
      <c r="BA1061" s="21"/>
      <c r="BB1061" s="21"/>
      <c r="BC1061" s="21"/>
      <c r="BD1061" s="21"/>
      <c r="BE1061" s="21"/>
      <c r="BF1061" s="21"/>
      <c r="BG1061" s="21"/>
      <c r="BH1061" s="21"/>
      <c r="BI1061" s="21"/>
      <c r="BJ1061" s="21"/>
      <c r="BK1061" s="10"/>
    </row>
    <row r="1062">
      <c r="A1062" s="50"/>
      <c r="D1062" s="51"/>
      <c r="E1062" s="18">
        <v>11.0</v>
      </c>
      <c r="F1062" s="18">
        <v>81.0</v>
      </c>
      <c r="G1062" s="21"/>
      <c r="H1062" s="21"/>
      <c r="I1062" s="21"/>
      <c r="J1062" s="21"/>
      <c r="K1062" s="21"/>
      <c r="L1062" s="21"/>
      <c r="M1062" s="21"/>
      <c r="N1062" s="21"/>
      <c r="O1062" s="21"/>
      <c r="P1062" s="21"/>
      <c r="Q1062" s="21"/>
      <c r="R1062" s="21"/>
      <c r="S1062" s="21"/>
      <c r="T1062" s="18">
        <v>133.0</v>
      </c>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21"/>
      <c r="AP1062" s="21"/>
      <c r="AQ1062" s="21"/>
      <c r="AR1062" s="21"/>
      <c r="AS1062" s="21"/>
      <c r="AT1062" s="21"/>
      <c r="AU1062" s="21"/>
      <c r="AV1062" s="21"/>
      <c r="AW1062" s="21"/>
      <c r="AX1062" s="21"/>
      <c r="AY1062" s="21"/>
      <c r="AZ1062" s="21"/>
      <c r="BA1062" s="21"/>
      <c r="BB1062" s="21"/>
      <c r="BC1062" s="21"/>
      <c r="BD1062" s="21"/>
      <c r="BE1062" s="21"/>
      <c r="BF1062" s="21"/>
      <c r="BG1062" s="21"/>
      <c r="BH1062" s="21"/>
      <c r="BI1062" s="21"/>
      <c r="BJ1062" s="21"/>
      <c r="BK1062" s="10"/>
    </row>
    <row r="1063">
      <c r="A1063" s="50"/>
      <c r="D1063" s="51"/>
      <c r="E1063" s="18">
        <v>12.0</v>
      </c>
      <c r="F1063" s="18">
        <v>89.0</v>
      </c>
      <c r="G1063" s="21"/>
      <c r="H1063" s="21"/>
      <c r="I1063" s="21"/>
      <c r="J1063" s="21"/>
      <c r="K1063" s="21"/>
      <c r="L1063" s="21"/>
      <c r="M1063" s="21"/>
      <c r="N1063" s="21"/>
      <c r="O1063" s="21"/>
      <c r="P1063" s="21"/>
      <c r="Q1063" s="21"/>
      <c r="R1063" s="21"/>
      <c r="S1063" s="21"/>
      <c r="T1063" s="18">
        <v>146.0</v>
      </c>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21"/>
      <c r="AP1063" s="21"/>
      <c r="AQ1063" s="21"/>
      <c r="AR1063" s="21"/>
      <c r="AS1063" s="21"/>
      <c r="AT1063" s="21"/>
      <c r="AU1063" s="21"/>
      <c r="AV1063" s="21"/>
      <c r="AW1063" s="21"/>
      <c r="AX1063" s="21"/>
      <c r="AY1063" s="21"/>
      <c r="AZ1063" s="21"/>
      <c r="BA1063" s="21"/>
      <c r="BB1063" s="21"/>
      <c r="BC1063" s="21"/>
      <c r="BD1063" s="21"/>
      <c r="BE1063" s="21"/>
      <c r="BF1063" s="21"/>
      <c r="BG1063" s="21"/>
      <c r="BH1063" s="21"/>
      <c r="BI1063" s="21"/>
      <c r="BJ1063" s="21"/>
      <c r="BK1063" s="10"/>
    </row>
    <row r="1064">
      <c r="A1064" s="52"/>
      <c r="B1064" s="53"/>
      <c r="C1064" s="53"/>
      <c r="D1064" s="54"/>
      <c r="E1064" s="18">
        <v>13.0</v>
      </c>
      <c r="F1064" s="18">
        <v>98.0</v>
      </c>
      <c r="G1064" s="22"/>
      <c r="H1064" s="22"/>
      <c r="I1064" s="22"/>
      <c r="J1064" s="22"/>
      <c r="K1064" s="22"/>
      <c r="L1064" s="22"/>
      <c r="M1064" s="22"/>
      <c r="N1064" s="22"/>
      <c r="O1064" s="22"/>
      <c r="P1064" s="22"/>
      <c r="Q1064" s="22"/>
      <c r="R1064" s="22"/>
      <c r="S1064" s="22"/>
      <c r="T1064" s="18">
        <v>160.0</v>
      </c>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AV1064" s="22"/>
      <c r="AW1064" s="22"/>
      <c r="AX1064" s="22"/>
      <c r="AY1064" s="22"/>
      <c r="AZ1064" s="22"/>
      <c r="BA1064" s="22"/>
      <c r="BB1064" s="22"/>
      <c r="BC1064" s="22"/>
      <c r="BD1064" s="22"/>
      <c r="BE1064" s="22"/>
      <c r="BF1064" s="22"/>
      <c r="BG1064" s="22"/>
      <c r="BH1064" s="22"/>
      <c r="BI1064" s="22"/>
      <c r="BJ1064" s="22"/>
      <c r="BK1064" s="10"/>
    </row>
    <row r="1065">
      <c r="A1065" s="47" t="s">
        <v>408</v>
      </c>
      <c r="B1065" s="48"/>
      <c r="C1065" s="48"/>
      <c r="D1065" s="49"/>
      <c r="E1065" s="32">
        <v>6.0</v>
      </c>
      <c r="F1065" s="18">
        <v>31.0</v>
      </c>
      <c r="G1065" s="16" t="s">
        <v>85</v>
      </c>
      <c r="H1065" s="36" t="s">
        <v>85</v>
      </c>
      <c r="I1065" s="36" t="s">
        <v>85</v>
      </c>
      <c r="J1065" s="36" t="s">
        <v>85</v>
      </c>
      <c r="K1065" s="36" t="s">
        <v>85</v>
      </c>
      <c r="L1065" s="18">
        <v>62.0</v>
      </c>
      <c r="M1065" s="36" t="s">
        <v>85</v>
      </c>
      <c r="N1065" s="16" t="s">
        <v>85</v>
      </c>
      <c r="O1065" s="16" t="s">
        <v>85</v>
      </c>
      <c r="P1065" s="16" t="s">
        <v>85</v>
      </c>
      <c r="Q1065" s="16" t="s">
        <v>85</v>
      </c>
      <c r="R1065" s="16" t="s">
        <v>85</v>
      </c>
      <c r="S1065" s="16" t="s">
        <v>85</v>
      </c>
      <c r="T1065" s="18">
        <v>650.0</v>
      </c>
      <c r="U1065" s="16" t="s">
        <v>85</v>
      </c>
      <c r="V1065" s="36" t="s">
        <v>85</v>
      </c>
      <c r="W1065" s="16" t="s">
        <v>85</v>
      </c>
      <c r="X1065" s="16" t="s">
        <v>85</v>
      </c>
      <c r="Y1065" s="36" t="s">
        <v>85</v>
      </c>
      <c r="Z1065" s="36" t="s">
        <v>85</v>
      </c>
      <c r="AA1065" s="36" t="s">
        <v>85</v>
      </c>
      <c r="AB1065" s="16" t="s">
        <v>85</v>
      </c>
      <c r="AC1065" s="16" t="s">
        <v>85</v>
      </c>
      <c r="AD1065" s="16" t="s">
        <v>85</v>
      </c>
      <c r="AE1065" s="16" t="s">
        <v>220</v>
      </c>
      <c r="AF1065" s="16" t="s">
        <v>109</v>
      </c>
      <c r="AG1065" s="16" t="s">
        <v>110</v>
      </c>
      <c r="AH1065" s="16" t="s">
        <v>85</v>
      </c>
      <c r="AI1065" s="16" t="s">
        <v>104</v>
      </c>
      <c r="AJ1065" s="16" t="s">
        <v>85</v>
      </c>
      <c r="AK1065" s="16" t="s">
        <v>85</v>
      </c>
      <c r="AL1065" s="16" t="s">
        <v>85</v>
      </c>
      <c r="AM1065" s="16" t="s">
        <v>85</v>
      </c>
      <c r="AN1065" s="16" t="s">
        <v>85</v>
      </c>
      <c r="AO1065" s="16" t="s">
        <v>85</v>
      </c>
      <c r="AP1065" s="16" t="s">
        <v>85</v>
      </c>
      <c r="AQ1065" s="16" t="s">
        <v>85</v>
      </c>
      <c r="AR1065" s="16" t="s">
        <v>85</v>
      </c>
      <c r="AS1065" s="16" t="s">
        <v>85</v>
      </c>
      <c r="AT1065" s="16" t="s">
        <v>85</v>
      </c>
      <c r="AU1065" s="16" t="s">
        <v>85</v>
      </c>
      <c r="AV1065" s="16" t="s">
        <v>85</v>
      </c>
      <c r="AW1065" s="16" t="s">
        <v>85</v>
      </c>
      <c r="AX1065" s="16" t="s">
        <v>85</v>
      </c>
      <c r="AY1065" s="16" t="s">
        <v>85</v>
      </c>
      <c r="AZ1065" s="16" t="s">
        <v>85</v>
      </c>
      <c r="BA1065" s="16" t="s">
        <v>85</v>
      </c>
      <c r="BB1065" s="16" t="s">
        <v>85</v>
      </c>
      <c r="BC1065" s="16" t="s">
        <v>85</v>
      </c>
      <c r="BD1065" s="16" t="s">
        <v>85</v>
      </c>
      <c r="BE1065" s="16" t="s">
        <v>85</v>
      </c>
      <c r="BF1065" s="16" t="s">
        <v>85</v>
      </c>
      <c r="BG1065" s="16" t="s">
        <v>85</v>
      </c>
      <c r="BH1065" s="16" t="s">
        <v>85</v>
      </c>
      <c r="BI1065" s="16" t="s">
        <v>85</v>
      </c>
      <c r="BJ1065" s="16" t="s">
        <v>85</v>
      </c>
      <c r="BK1065" s="24"/>
    </row>
    <row r="1066">
      <c r="A1066" s="50"/>
      <c r="D1066" s="51"/>
      <c r="E1066" s="32">
        <v>7.0</v>
      </c>
      <c r="F1066" s="19">
        <v>34.0</v>
      </c>
      <c r="G1066" s="21"/>
      <c r="H1066" s="21"/>
      <c r="I1066" s="21"/>
      <c r="J1066" s="21"/>
      <c r="K1066" s="21"/>
      <c r="L1066" s="19">
        <v>68.0</v>
      </c>
      <c r="M1066" s="21"/>
      <c r="N1066" s="21"/>
      <c r="O1066" s="21"/>
      <c r="P1066" s="21"/>
      <c r="Q1066" s="21"/>
      <c r="R1066" s="21"/>
      <c r="S1066" s="21"/>
      <c r="T1066" s="18">
        <v>715.0</v>
      </c>
      <c r="U1066" s="21"/>
      <c r="V1066" s="21"/>
      <c r="W1066" s="21"/>
      <c r="X1066" s="21"/>
      <c r="Y1066" s="21"/>
      <c r="Z1066" s="21"/>
      <c r="AA1066" s="21"/>
      <c r="AB1066" s="21"/>
      <c r="AC1066" s="21"/>
      <c r="AD1066" s="21"/>
      <c r="AE1066" s="21"/>
      <c r="AF1066" s="21"/>
      <c r="AG1066" s="21"/>
      <c r="AH1066" s="21"/>
      <c r="AI1066" s="21"/>
      <c r="AJ1066" s="21"/>
      <c r="AK1066" s="21"/>
      <c r="AL1066" s="21"/>
      <c r="AM1066" s="21"/>
      <c r="AN1066" s="21"/>
      <c r="AO1066" s="21"/>
      <c r="AP1066" s="21"/>
      <c r="AQ1066" s="21"/>
      <c r="AR1066" s="21"/>
      <c r="AS1066" s="21"/>
      <c r="AT1066" s="21"/>
      <c r="AU1066" s="21"/>
      <c r="AV1066" s="21"/>
      <c r="AW1066" s="21"/>
      <c r="AX1066" s="21"/>
      <c r="AY1066" s="21"/>
      <c r="AZ1066" s="21"/>
      <c r="BA1066" s="21"/>
      <c r="BB1066" s="21"/>
      <c r="BC1066" s="21"/>
      <c r="BD1066" s="21"/>
      <c r="BE1066" s="21"/>
      <c r="BF1066" s="21"/>
      <c r="BG1066" s="21"/>
      <c r="BH1066" s="21"/>
      <c r="BI1066" s="21"/>
      <c r="BJ1066" s="21"/>
      <c r="BK1066" s="10"/>
    </row>
    <row r="1067">
      <c r="A1067" s="50"/>
      <c r="D1067" s="51"/>
      <c r="E1067" s="32">
        <v>8.0</v>
      </c>
      <c r="F1067" s="19">
        <v>37.0</v>
      </c>
      <c r="G1067" s="21"/>
      <c r="H1067" s="21"/>
      <c r="I1067" s="21"/>
      <c r="J1067" s="21"/>
      <c r="K1067" s="21"/>
      <c r="L1067" s="19">
        <v>75.0</v>
      </c>
      <c r="M1067" s="21"/>
      <c r="N1067" s="21"/>
      <c r="O1067" s="21"/>
      <c r="P1067" s="21"/>
      <c r="Q1067" s="21"/>
      <c r="R1067" s="21"/>
      <c r="S1067" s="21"/>
      <c r="T1067" s="18">
        <v>786.0</v>
      </c>
      <c r="U1067" s="21"/>
      <c r="V1067" s="21"/>
      <c r="W1067" s="21"/>
      <c r="X1067" s="21"/>
      <c r="Y1067" s="21"/>
      <c r="Z1067" s="21"/>
      <c r="AA1067" s="21"/>
      <c r="AB1067" s="21"/>
      <c r="AC1067" s="21"/>
      <c r="AD1067" s="21"/>
      <c r="AE1067" s="21"/>
      <c r="AF1067" s="21"/>
      <c r="AG1067" s="21"/>
      <c r="AH1067" s="21"/>
      <c r="AI1067" s="21"/>
      <c r="AJ1067" s="21"/>
      <c r="AK1067" s="21"/>
      <c r="AL1067" s="21"/>
      <c r="AM1067" s="21"/>
      <c r="AN1067" s="21"/>
      <c r="AO1067" s="21"/>
      <c r="AP1067" s="21"/>
      <c r="AQ1067" s="21"/>
      <c r="AR1067" s="21"/>
      <c r="AS1067" s="21"/>
      <c r="AT1067" s="21"/>
      <c r="AU1067" s="21"/>
      <c r="AV1067" s="21"/>
      <c r="AW1067" s="21"/>
      <c r="AX1067" s="21"/>
      <c r="AY1067" s="21"/>
      <c r="AZ1067" s="21"/>
      <c r="BA1067" s="21"/>
      <c r="BB1067" s="21"/>
      <c r="BC1067" s="21"/>
      <c r="BD1067" s="21"/>
      <c r="BE1067" s="21"/>
      <c r="BF1067" s="21"/>
      <c r="BG1067" s="21"/>
      <c r="BH1067" s="21"/>
      <c r="BI1067" s="21"/>
      <c r="BJ1067" s="21"/>
      <c r="BK1067" s="10"/>
    </row>
    <row r="1068">
      <c r="A1068" s="50"/>
      <c r="D1068" s="51"/>
      <c r="E1068" s="32">
        <v>9.0</v>
      </c>
      <c r="F1068" s="19">
        <v>41.0</v>
      </c>
      <c r="G1068" s="21"/>
      <c r="H1068" s="21"/>
      <c r="I1068" s="21"/>
      <c r="J1068" s="21"/>
      <c r="K1068" s="21"/>
      <c r="L1068" s="19">
        <v>82.0</v>
      </c>
      <c r="M1068" s="21"/>
      <c r="N1068" s="21"/>
      <c r="O1068" s="21"/>
      <c r="P1068" s="21"/>
      <c r="Q1068" s="21"/>
      <c r="R1068" s="21"/>
      <c r="S1068" s="21"/>
      <c r="T1068" s="18">
        <v>864.0</v>
      </c>
      <c r="U1068" s="21"/>
      <c r="V1068" s="21"/>
      <c r="W1068" s="21"/>
      <c r="X1068" s="21"/>
      <c r="Y1068" s="21"/>
      <c r="Z1068" s="21"/>
      <c r="AA1068" s="21"/>
      <c r="AB1068" s="21"/>
      <c r="AC1068" s="21"/>
      <c r="AD1068" s="21"/>
      <c r="AE1068" s="21"/>
      <c r="AF1068" s="21"/>
      <c r="AG1068" s="21"/>
      <c r="AH1068" s="21"/>
      <c r="AI1068" s="21"/>
      <c r="AJ1068" s="21"/>
      <c r="AK1068" s="21"/>
      <c r="AL1068" s="21"/>
      <c r="AM1068" s="21"/>
      <c r="AN1068" s="21"/>
      <c r="AO1068" s="21"/>
      <c r="AP1068" s="21"/>
      <c r="AQ1068" s="21"/>
      <c r="AR1068" s="21"/>
      <c r="AS1068" s="21"/>
      <c r="AT1068" s="21"/>
      <c r="AU1068" s="21"/>
      <c r="AV1068" s="21"/>
      <c r="AW1068" s="21"/>
      <c r="AX1068" s="21"/>
      <c r="AY1068" s="21"/>
      <c r="AZ1068" s="21"/>
      <c r="BA1068" s="21"/>
      <c r="BB1068" s="21"/>
      <c r="BC1068" s="21"/>
      <c r="BD1068" s="21"/>
      <c r="BE1068" s="21"/>
      <c r="BF1068" s="21"/>
      <c r="BG1068" s="21"/>
      <c r="BH1068" s="21"/>
      <c r="BI1068" s="21"/>
      <c r="BJ1068" s="21"/>
      <c r="BK1068" s="10"/>
    </row>
    <row r="1069">
      <c r="A1069" s="50"/>
      <c r="D1069" s="51"/>
      <c r="E1069" s="32">
        <v>10.0</v>
      </c>
      <c r="F1069" s="19">
        <v>45.0</v>
      </c>
      <c r="G1069" s="21"/>
      <c r="H1069" s="21"/>
      <c r="I1069" s="21"/>
      <c r="J1069" s="21"/>
      <c r="K1069" s="21"/>
      <c r="L1069" s="19">
        <v>90.0</v>
      </c>
      <c r="M1069" s="21"/>
      <c r="N1069" s="21"/>
      <c r="O1069" s="21"/>
      <c r="P1069" s="21"/>
      <c r="Q1069" s="21"/>
      <c r="R1069" s="21"/>
      <c r="S1069" s="21"/>
      <c r="T1069" s="18">
        <v>949.0</v>
      </c>
      <c r="U1069" s="21"/>
      <c r="V1069" s="21"/>
      <c r="W1069" s="21"/>
      <c r="X1069" s="21"/>
      <c r="Y1069" s="21"/>
      <c r="Z1069" s="21"/>
      <c r="AA1069" s="21"/>
      <c r="AB1069" s="21"/>
      <c r="AC1069" s="21"/>
      <c r="AD1069" s="21"/>
      <c r="AE1069" s="21"/>
      <c r="AF1069" s="21"/>
      <c r="AG1069" s="21"/>
      <c r="AH1069" s="21"/>
      <c r="AI1069" s="21"/>
      <c r="AJ1069" s="21"/>
      <c r="AK1069" s="21"/>
      <c r="AL1069" s="21"/>
      <c r="AM1069" s="21"/>
      <c r="AN1069" s="21"/>
      <c r="AO1069" s="21"/>
      <c r="AP1069" s="21"/>
      <c r="AQ1069" s="21"/>
      <c r="AR1069" s="21"/>
      <c r="AS1069" s="21"/>
      <c r="AT1069" s="21"/>
      <c r="AU1069" s="21"/>
      <c r="AV1069" s="21"/>
      <c r="AW1069" s="21"/>
      <c r="AX1069" s="21"/>
      <c r="AY1069" s="21"/>
      <c r="AZ1069" s="21"/>
      <c r="BA1069" s="21"/>
      <c r="BB1069" s="21"/>
      <c r="BC1069" s="21"/>
      <c r="BD1069" s="21"/>
      <c r="BE1069" s="21"/>
      <c r="BF1069" s="21"/>
      <c r="BG1069" s="21"/>
      <c r="BH1069" s="21"/>
      <c r="BI1069" s="21"/>
      <c r="BJ1069" s="21"/>
      <c r="BK1069" s="10"/>
    </row>
    <row r="1070">
      <c r="A1070" s="50"/>
      <c r="D1070" s="51"/>
      <c r="E1070" s="32">
        <v>11.0</v>
      </c>
      <c r="F1070" s="19">
        <v>49.0</v>
      </c>
      <c r="G1070" s="21"/>
      <c r="H1070" s="21"/>
      <c r="I1070" s="21"/>
      <c r="J1070" s="21"/>
      <c r="K1070" s="21"/>
      <c r="L1070" s="19">
        <v>99.0</v>
      </c>
      <c r="M1070" s="21"/>
      <c r="N1070" s="21"/>
      <c r="O1070" s="21"/>
      <c r="P1070" s="21"/>
      <c r="Q1070" s="21"/>
      <c r="R1070" s="21"/>
      <c r="S1070" s="21"/>
      <c r="T1070" s="18">
        <v>1040.0</v>
      </c>
      <c r="U1070" s="21"/>
      <c r="V1070" s="21"/>
      <c r="W1070" s="21"/>
      <c r="X1070" s="21"/>
      <c r="Y1070" s="21"/>
      <c r="Z1070" s="21"/>
      <c r="AA1070" s="21"/>
      <c r="AB1070" s="21"/>
      <c r="AC1070" s="21"/>
      <c r="AD1070" s="21"/>
      <c r="AE1070" s="21"/>
      <c r="AF1070" s="21"/>
      <c r="AG1070" s="21"/>
      <c r="AH1070" s="21"/>
      <c r="AI1070" s="21"/>
      <c r="AJ1070" s="21"/>
      <c r="AK1070" s="21"/>
      <c r="AL1070" s="21"/>
      <c r="AM1070" s="21"/>
      <c r="AN1070" s="21"/>
      <c r="AO1070" s="21"/>
      <c r="AP1070" s="21"/>
      <c r="AQ1070" s="21"/>
      <c r="AR1070" s="21"/>
      <c r="AS1070" s="21"/>
      <c r="AT1070" s="21"/>
      <c r="AU1070" s="21"/>
      <c r="AV1070" s="21"/>
      <c r="AW1070" s="21"/>
      <c r="AX1070" s="21"/>
      <c r="AY1070" s="21"/>
      <c r="AZ1070" s="21"/>
      <c r="BA1070" s="21"/>
      <c r="BB1070" s="21"/>
      <c r="BC1070" s="21"/>
      <c r="BD1070" s="21"/>
      <c r="BE1070" s="21"/>
      <c r="BF1070" s="21"/>
      <c r="BG1070" s="21"/>
      <c r="BH1070" s="21"/>
      <c r="BI1070" s="21"/>
      <c r="BJ1070" s="21"/>
      <c r="BK1070" s="10"/>
    </row>
    <row r="1071">
      <c r="A1071" s="50"/>
      <c r="D1071" s="51"/>
      <c r="E1071" s="32">
        <v>12.0</v>
      </c>
      <c r="F1071" s="19">
        <v>54.0</v>
      </c>
      <c r="G1071" s="21"/>
      <c r="H1071" s="21"/>
      <c r="I1071" s="21"/>
      <c r="J1071" s="21"/>
      <c r="K1071" s="21"/>
      <c r="L1071" s="19">
        <v>109.0</v>
      </c>
      <c r="M1071" s="21"/>
      <c r="N1071" s="21"/>
      <c r="O1071" s="21"/>
      <c r="P1071" s="21"/>
      <c r="Q1071" s="21"/>
      <c r="R1071" s="21"/>
      <c r="S1071" s="21"/>
      <c r="T1071" s="18">
        <v>1144.0</v>
      </c>
      <c r="U1071" s="21"/>
      <c r="V1071" s="21"/>
      <c r="W1071" s="21"/>
      <c r="X1071" s="21"/>
      <c r="Y1071" s="21"/>
      <c r="Z1071" s="21"/>
      <c r="AA1071" s="21"/>
      <c r="AB1071" s="21"/>
      <c r="AC1071" s="21"/>
      <c r="AD1071" s="21"/>
      <c r="AE1071" s="21"/>
      <c r="AF1071" s="21"/>
      <c r="AG1071" s="21"/>
      <c r="AH1071" s="21"/>
      <c r="AI1071" s="21"/>
      <c r="AJ1071" s="21"/>
      <c r="AK1071" s="21"/>
      <c r="AL1071" s="21"/>
      <c r="AM1071" s="21"/>
      <c r="AN1071" s="21"/>
      <c r="AO1071" s="21"/>
      <c r="AP1071" s="21"/>
      <c r="AQ1071" s="21"/>
      <c r="AR1071" s="21"/>
      <c r="AS1071" s="21"/>
      <c r="AT1071" s="21"/>
      <c r="AU1071" s="21"/>
      <c r="AV1071" s="21"/>
      <c r="AW1071" s="21"/>
      <c r="AX1071" s="21"/>
      <c r="AY1071" s="21"/>
      <c r="AZ1071" s="21"/>
      <c r="BA1071" s="21"/>
      <c r="BB1071" s="21"/>
      <c r="BC1071" s="21"/>
      <c r="BD1071" s="21"/>
      <c r="BE1071" s="21"/>
      <c r="BF1071" s="21"/>
      <c r="BG1071" s="21"/>
      <c r="BH1071" s="21"/>
      <c r="BI1071" s="21"/>
      <c r="BJ1071" s="21"/>
      <c r="BK1071" s="10"/>
    </row>
    <row r="1072">
      <c r="A1072" s="52"/>
      <c r="B1072" s="53"/>
      <c r="C1072" s="53"/>
      <c r="D1072" s="54"/>
      <c r="E1072" s="32">
        <v>13.0</v>
      </c>
      <c r="F1072" s="19">
        <v>59.0</v>
      </c>
      <c r="G1072" s="22"/>
      <c r="H1072" s="22"/>
      <c r="I1072" s="22"/>
      <c r="J1072" s="22"/>
      <c r="K1072" s="22"/>
      <c r="L1072" s="19">
        <v>119.0</v>
      </c>
      <c r="M1072" s="22"/>
      <c r="N1072" s="22"/>
      <c r="O1072" s="22"/>
      <c r="P1072" s="22"/>
      <c r="Q1072" s="22"/>
      <c r="R1072" s="22"/>
      <c r="S1072" s="22"/>
      <c r="T1072" s="18">
        <v>1254.0</v>
      </c>
      <c r="U1072" s="22"/>
      <c r="V1072" s="22"/>
      <c r="W1072" s="22"/>
      <c r="X1072" s="22"/>
      <c r="Y1072" s="22"/>
      <c r="Z1072" s="22"/>
      <c r="AA1072" s="22"/>
      <c r="AB1072" s="22"/>
      <c r="AC1072" s="22"/>
      <c r="AD1072" s="22"/>
      <c r="AE1072" s="22"/>
      <c r="AF1072" s="22"/>
      <c r="AG1072" s="22"/>
      <c r="AH1072" s="22"/>
      <c r="AI1072" s="22"/>
      <c r="AJ1072" s="22"/>
      <c r="AK1072" s="22"/>
      <c r="AL1072" s="22"/>
      <c r="AM1072" s="22"/>
      <c r="AN1072" s="22"/>
      <c r="AO1072" s="22"/>
      <c r="AP1072" s="22"/>
      <c r="AQ1072" s="22"/>
      <c r="AR1072" s="22"/>
      <c r="AS1072" s="22"/>
      <c r="AT1072" s="22"/>
      <c r="AU1072" s="22"/>
      <c r="AV1072" s="22"/>
      <c r="AW1072" s="22"/>
      <c r="AX1072" s="22"/>
      <c r="AY1072" s="22"/>
      <c r="AZ1072" s="22"/>
      <c r="BA1072" s="22"/>
      <c r="BB1072" s="22"/>
      <c r="BC1072" s="22"/>
      <c r="BD1072" s="22"/>
      <c r="BE1072" s="22"/>
      <c r="BF1072" s="22"/>
      <c r="BG1072" s="22"/>
      <c r="BH1072" s="22"/>
      <c r="BI1072" s="22"/>
      <c r="BJ1072" s="22"/>
      <c r="BK1072" s="10"/>
    </row>
    <row r="1073">
      <c r="A1073" s="47" t="s">
        <v>277</v>
      </c>
      <c r="B1073" s="48"/>
      <c r="C1073" s="48"/>
      <c r="D1073" s="49"/>
      <c r="E1073" s="18">
        <v>9.0</v>
      </c>
      <c r="F1073" s="18">
        <v>86.0</v>
      </c>
      <c r="G1073" s="16" t="s">
        <v>85</v>
      </c>
      <c r="H1073" s="36" t="s">
        <v>85</v>
      </c>
      <c r="I1073" s="36" t="s">
        <v>85</v>
      </c>
      <c r="J1073" s="36" t="s">
        <v>85</v>
      </c>
      <c r="K1073" s="36" t="s">
        <v>85</v>
      </c>
      <c r="L1073" s="16" t="s">
        <v>85</v>
      </c>
      <c r="M1073" s="36" t="s">
        <v>85</v>
      </c>
      <c r="N1073" s="16" t="s">
        <v>85</v>
      </c>
      <c r="O1073" s="16" t="s">
        <v>85</v>
      </c>
      <c r="P1073" s="16" t="s">
        <v>85</v>
      </c>
      <c r="Q1073" s="16" t="s">
        <v>85</v>
      </c>
      <c r="R1073" s="16" t="s">
        <v>85</v>
      </c>
      <c r="S1073" s="16" t="s">
        <v>85</v>
      </c>
      <c r="T1073" s="16" t="s">
        <v>85</v>
      </c>
      <c r="U1073" s="16" t="s">
        <v>85</v>
      </c>
      <c r="V1073" s="36" t="s">
        <v>85</v>
      </c>
      <c r="W1073" s="16" t="s">
        <v>85</v>
      </c>
      <c r="X1073" s="16" t="s">
        <v>85</v>
      </c>
      <c r="Y1073" s="36" t="s">
        <v>85</v>
      </c>
      <c r="Z1073" s="36" t="s">
        <v>85</v>
      </c>
      <c r="AA1073" s="36" t="s">
        <v>85</v>
      </c>
      <c r="AB1073" s="16" t="s">
        <v>85</v>
      </c>
      <c r="AC1073" s="16" t="s">
        <v>85</v>
      </c>
      <c r="AD1073" s="16" t="s">
        <v>85</v>
      </c>
      <c r="AE1073" s="16" t="s">
        <v>106</v>
      </c>
      <c r="AF1073" s="16" t="s">
        <v>89</v>
      </c>
      <c r="AG1073" s="16" t="s">
        <v>85</v>
      </c>
      <c r="AH1073" s="16" t="s">
        <v>85</v>
      </c>
      <c r="AI1073" s="16">
        <v>5.5</v>
      </c>
      <c r="AJ1073" s="16" t="s">
        <v>85</v>
      </c>
      <c r="AK1073" s="16" t="s">
        <v>85</v>
      </c>
      <c r="AL1073" s="16" t="s">
        <v>85</v>
      </c>
      <c r="AM1073" s="16" t="s">
        <v>85</v>
      </c>
      <c r="AN1073" s="16" t="s">
        <v>85</v>
      </c>
      <c r="AO1073" s="16" t="s">
        <v>85</v>
      </c>
      <c r="AP1073" s="16" t="s">
        <v>85</v>
      </c>
      <c r="AQ1073" s="16" t="s">
        <v>85</v>
      </c>
      <c r="AR1073" s="16" t="s">
        <v>85</v>
      </c>
      <c r="AS1073" s="16" t="s">
        <v>85</v>
      </c>
      <c r="AT1073" s="16" t="s">
        <v>85</v>
      </c>
      <c r="AU1073" s="16" t="s">
        <v>85</v>
      </c>
      <c r="AV1073" s="16" t="s">
        <v>409</v>
      </c>
      <c r="AW1073" s="16" t="s">
        <v>85</v>
      </c>
      <c r="AX1073" s="16" t="s">
        <v>85</v>
      </c>
      <c r="AY1073" s="16" t="s">
        <v>85</v>
      </c>
      <c r="AZ1073" s="16" t="s">
        <v>85</v>
      </c>
      <c r="BA1073" s="16" t="s">
        <v>85</v>
      </c>
      <c r="BB1073" s="16" t="s">
        <v>85</v>
      </c>
      <c r="BC1073" s="16" t="s">
        <v>85</v>
      </c>
      <c r="BD1073" s="16" t="s">
        <v>85</v>
      </c>
      <c r="BE1073" s="16" t="s">
        <v>85</v>
      </c>
      <c r="BF1073" s="16" t="s">
        <v>85</v>
      </c>
      <c r="BG1073" s="16" t="s">
        <v>85</v>
      </c>
      <c r="BH1073" s="16" t="s">
        <v>85</v>
      </c>
      <c r="BI1073" s="16" t="s">
        <v>85</v>
      </c>
      <c r="BJ1073" s="16" t="s">
        <v>85</v>
      </c>
      <c r="BK1073" s="10"/>
    </row>
    <row r="1074">
      <c r="A1074" s="50"/>
      <c r="D1074" s="51"/>
      <c r="E1074" s="18">
        <v>10.0</v>
      </c>
      <c r="F1074" s="19">
        <v>94.0</v>
      </c>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c r="AJ1074" s="21"/>
      <c r="AK1074" s="21"/>
      <c r="AL1074" s="21"/>
      <c r="AM1074" s="21"/>
      <c r="AN1074" s="21"/>
      <c r="AO1074" s="21"/>
      <c r="AP1074" s="21"/>
      <c r="AQ1074" s="21"/>
      <c r="AR1074" s="21"/>
      <c r="AS1074" s="21"/>
      <c r="AT1074" s="21"/>
      <c r="AU1074" s="21"/>
      <c r="AV1074" s="21"/>
      <c r="AW1074" s="21"/>
      <c r="AX1074" s="21"/>
      <c r="AY1074" s="21"/>
      <c r="AZ1074" s="21"/>
      <c r="BA1074" s="21"/>
      <c r="BB1074" s="21"/>
      <c r="BC1074" s="21"/>
      <c r="BD1074" s="21"/>
      <c r="BE1074" s="21"/>
      <c r="BF1074" s="21"/>
      <c r="BG1074" s="21"/>
      <c r="BH1074" s="21"/>
      <c r="BI1074" s="21"/>
      <c r="BJ1074" s="21"/>
      <c r="BK1074" s="10"/>
    </row>
    <row r="1075">
      <c r="A1075" s="50"/>
      <c r="D1075" s="51"/>
      <c r="E1075" s="18">
        <v>11.0</v>
      </c>
      <c r="F1075" s="19">
        <v>104.0</v>
      </c>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c r="AJ1075" s="21"/>
      <c r="AK1075" s="21"/>
      <c r="AL1075" s="21"/>
      <c r="AM1075" s="21"/>
      <c r="AN1075" s="21"/>
      <c r="AO1075" s="21"/>
      <c r="AP1075" s="21"/>
      <c r="AQ1075" s="21"/>
      <c r="AR1075" s="21"/>
      <c r="AS1075" s="21"/>
      <c r="AT1075" s="21"/>
      <c r="AU1075" s="21"/>
      <c r="AV1075" s="21"/>
      <c r="AW1075" s="21"/>
      <c r="AX1075" s="21"/>
      <c r="AY1075" s="21"/>
      <c r="AZ1075" s="21"/>
      <c r="BA1075" s="21"/>
      <c r="BB1075" s="21"/>
      <c r="BC1075" s="21"/>
      <c r="BD1075" s="21"/>
      <c r="BE1075" s="21"/>
      <c r="BF1075" s="21"/>
      <c r="BG1075" s="21"/>
      <c r="BH1075" s="21"/>
      <c r="BI1075" s="21"/>
      <c r="BJ1075" s="21"/>
      <c r="BK1075" s="10"/>
    </row>
    <row r="1076">
      <c r="A1076" s="50"/>
      <c r="D1076" s="51"/>
      <c r="E1076" s="18">
        <v>12.0</v>
      </c>
      <c r="F1076" s="19">
        <v>114.0</v>
      </c>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c r="AJ1076" s="21"/>
      <c r="AK1076" s="21"/>
      <c r="AL1076" s="21"/>
      <c r="AM1076" s="21"/>
      <c r="AN1076" s="21"/>
      <c r="AO1076" s="21"/>
      <c r="AP1076" s="21"/>
      <c r="AQ1076" s="21"/>
      <c r="AR1076" s="21"/>
      <c r="AS1076" s="21"/>
      <c r="AT1076" s="21"/>
      <c r="AU1076" s="21"/>
      <c r="AV1076" s="21"/>
      <c r="AW1076" s="21"/>
      <c r="AX1076" s="21"/>
      <c r="AY1076" s="21"/>
      <c r="AZ1076" s="21"/>
      <c r="BA1076" s="21"/>
      <c r="BB1076" s="21"/>
      <c r="BC1076" s="21"/>
      <c r="BD1076" s="21"/>
      <c r="BE1076" s="21"/>
      <c r="BF1076" s="21"/>
      <c r="BG1076" s="21"/>
      <c r="BH1076" s="21"/>
      <c r="BI1076" s="21"/>
      <c r="BJ1076" s="21"/>
      <c r="BK1076" s="10"/>
    </row>
    <row r="1077">
      <c r="A1077" s="52"/>
      <c r="B1077" s="53"/>
      <c r="C1077" s="53"/>
      <c r="D1077" s="54"/>
      <c r="E1077" s="18">
        <v>13.0</v>
      </c>
      <c r="F1077" s="19">
        <v>125.0</v>
      </c>
      <c r="G1077" s="22"/>
      <c r="H1077" s="22"/>
      <c r="I1077" s="22"/>
      <c r="J1077" s="22"/>
      <c r="K1077" s="22"/>
      <c r="L1077" s="22"/>
      <c r="M1077" s="22"/>
      <c r="N1077" s="22"/>
      <c r="O1077" s="22"/>
      <c r="P1077" s="22"/>
      <c r="Q1077" s="22"/>
      <c r="R1077" s="22"/>
      <c r="S1077" s="22"/>
      <c r="T1077" s="22"/>
      <c r="U1077" s="22"/>
      <c r="V1077" s="22"/>
      <c r="W1077" s="22"/>
      <c r="X1077" s="22"/>
      <c r="Y1077" s="22"/>
      <c r="Z1077" s="22"/>
      <c r="AA1077" s="22"/>
      <c r="AB1077" s="22"/>
      <c r="AC1077" s="22"/>
      <c r="AD1077" s="22"/>
      <c r="AE1077" s="22"/>
      <c r="AF1077" s="22"/>
      <c r="AG1077" s="22"/>
      <c r="AH1077" s="22"/>
      <c r="AI1077" s="22"/>
      <c r="AJ1077" s="22"/>
      <c r="AK1077" s="22"/>
      <c r="AL1077" s="22"/>
      <c r="AM1077" s="22"/>
      <c r="AN1077" s="22"/>
      <c r="AO1077" s="22"/>
      <c r="AP1077" s="22"/>
      <c r="AQ1077" s="22"/>
      <c r="AR1077" s="22"/>
      <c r="AS1077" s="22"/>
      <c r="AT1077" s="22"/>
      <c r="AU1077" s="22"/>
      <c r="AV1077" s="22"/>
      <c r="AW1077" s="22"/>
      <c r="AX1077" s="22"/>
      <c r="AY1077" s="22"/>
      <c r="AZ1077" s="22"/>
      <c r="BA1077" s="22"/>
      <c r="BB1077" s="22"/>
      <c r="BC1077" s="22"/>
      <c r="BD1077" s="22"/>
      <c r="BE1077" s="22"/>
      <c r="BF1077" s="22"/>
      <c r="BG1077" s="22"/>
      <c r="BH1077" s="22"/>
      <c r="BI1077" s="22"/>
      <c r="BJ1077" s="22"/>
      <c r="BK1077" s="10"/>
    </row>
    <row r="1078">
      <c r="A1078" s="47" t="s">
        <v>279</v>
      </c>
      <c r="B1078" s="48"/>
      <c r="C1078" s="48"/>
      <c r="D1078" s="49"/>
      <c r="E1078" s="32">
        <v>9.0</v>
      </c>
      <c r="F1078" s="18">
        <v>75.0</v>
      </c>
      <c r="G1078" s="16" t="s">
        <v>85</v>
      </c>
      <c r="H1078" s="36" t="s">
        <v>85</v>
      </c>
      <c r="I1078" s="36" t="s">
        <v>85</v>
      </c>
      <c r="J1078" s="36" t="s">
        <v>85</v>
      </c>
      <c r="K1078" s="36" t="s">
        <v>85</v>
      </c>
      <c r="L1078" s="36" t="s">
        <v>85</v>
      </c>
      <c r="M1078" s="36" t="s">
        <v>85</v>
      </c>
      <c r="N1078" s="16" t="s">
        <v>85</v>
      </c>
      <c r="O1078" s="16" t="s">
        <v>85</v>
      </c>
      <c r="P1078" s="16" t="s">
        <v>85</v>
      </c>
      <c r="Q1078" s="16" t="s">
        <v>85</v>
      </c>
      <c r="R1078" s="16" t="s">
        <v>85</v>
      </c>
      <c r="S1078" s="16" t="s">
        <v>85</v>
      </c>
      <c r="T1078" s="18">
        <v>179.0</v>
      </c>
      <c r="U1078" s="16" t="s">
        <v>85</v>
      </c>
      <c r="V1078" s="36" t="s">
        <v>85</v>
      </c>
      <c r="W1078" s="16" t="s">
        <v>85</v>
      </c>
      <c r="X1078" s="16" t="s">
        <v>85</v>
      </c>
      <c r="Y1078" s="36" t="s">
        <v>85</v>
      </c>
      <c r="Z1078" s="36" t="s">
        <v>85</v>
      </c>
      <c r="AA1078" s="36" t="s">
        <v>85</v>
      </c>
      <c r="AB1078" s="16" t="s">
        <v>85</v>
      </c>
      <c r="AC1078" s="16" t="s">
        <v>85</v>
      </c>
      <c r="AD1078" s="16" t="s">
        <v>85</v>
      </c>
      <c r="AE1078" s="16" t="s">
        <v>103</v>
      </c>
      <c r="AF1078" s="16" t="s">
        <v>89</v>
      </c>
      <c r="AG1078" s="16" t="s">
        <v>95</v>
      </c>
      <c r="AH1078" s="16" t="s">
        <v>85</v>
      </c>
      <c r="AI1078" s="16" t="s">
        <v>91</v>
      </c>
      <c r="AJ1078" s="16" t="s">
        <v>85</v>
      </c>
      <c r="AK1078" s="16" t="s">
        <v>85</v>
      </c>
      <c r="AL1078" s="16" t="s">
        <v>85</v>
      </c>
      <c r="AM1078" s="16" t="s">
        <v>85</v>
      </c>
      <c r="AN1078" s="16" t="s">
        <v>85</v>
      </c>
      <c r="AO1078" s="16" t="s">
        <v>85</v>
      </c>
      <c r="AP1078" s="16" t="s">
        <v>85</v>
      </c>
      <c r="AQ1078" s="16" t="s">
        <v>85</v>
      </c>
      <c r="AR1078" s="16" t="s">
        <v>85</v>
      </c>
      <c r="AS1078" s="16" t="s">
        <v>85</v>
      </c>
      <c r="AT1078" s="16" t="s">
        <v>85</v>
      </c>
      <c r="AU1078" s="16" t="s">
        <v>85</v>
      </c>
      <c r="AV1078" s="16" t="s">
        <v>85</v>
      </c>
      <c r="AW1078" s="16" t="s">
        <v>85</v>
      </c>
      <c r="AX1078" s="16" t="s">
        <v>85</v>
      </c>
      <c r="AY1078" s="16" t="s">
        <v>85</v>
      </c>
      <c r="AZ1078" s="16" t="s">
        <v>85</v>
      </c>
      <c r="BA1078" s="16" t="s">
        <v>85</v>
      </c>
      <c r="BB1078" s="16" t="s">
        <v>85</v>
      </c>
      <c r="BC1078" s="16" t="s">
        <v>85</v>
      </c>
      <c r="BD1078" s="16" t="s">
        <v>85</v>
      </c>
      <c r="BE1078" s="16" t="s">
        <v>85</v>
      </c>
      <c r="BF1078" s="16" t="s">
        <v>85</v>
      </c>
      <c r="BG1078" s="16" t="s">
        <v>85</v>
      </c>
      <c r="BH1078" s="16" t="s">
        <v>85</v>
      </c>
      <c r="BI1078" s="16" t="s">
        <v>85</v>
      </c>
      <c r="BJ1078" s="16" t="s">
        <v>85</v>
      </c>
      <c r="BK1078" s="10"/>
    </row>
    <row r="1079">
      <c r="A1079" s="50"/>
      <c r="D1079" s="51"/>
      <c r="E1079" s="32">
        <v>10.0</v>
      </c>
      <c r="F1079" s="19">
        <v>82.0</v>
      </c>
      <c r="G1079" s="21"/>
      <c r="H1079" s="21"/>
      <c r="I1079" s="21"/>
      <c r="J1079" s="21"/>
      <c r="K1079" s="21"/>
      <c r="L1079" s="21"/>
      <c r="M1079" s="21"/>
      <c r="N1079" s="21"/>
      <c r="O1079" s="21"/>
      <c r="P1079" s="21"/>
      <c r="Q1079" s="21"/>
      <c r="R1079" s="21"/>
      <c r="S1079" s="21"/>
      <c r="T1079" s="18">
        <v>196.0</v>
      </c>
      <c r="U1079" s="21"/>
      <c r="V1079" s="21"/>
      <c r="W1079" s="21"/>
      <c r="X1079" s="21"/>
      <c r="Y1079" s="21"/>
      <c r="Z1079" s="21"/>
      <c r="AA1079" s="21"/>
      <c r="AB1079" s="21"/>
      <c r="AC1079" s="21"/>
      <c r="AD1079" s="21"/>
      <c r="AE1079" s="21"/>
      <c r="AF1079" s="21"/>
      <c r="AG1079" s="21"/>
      <c r="AH1079" s="21"/>
      <c r="AI1079" s="21"/>
      <c r="AJ1079" s="21"/>
      <c r="AK1079" s="21"/>
      <c r="AL1079" s="21"/>
      <c r="AM1079" s="21"/>
      <c r="AN1079" s="21"/>
      <c r="AO1079" s="21"/>
      <c r="AP1079" s="21"/>
      <c r="AQ1079" s="21"/>
      <c r="AR1079" s="21"/>
      <c r="AS1079" s="21"/>
      <c r="AT1079" s="21"/>
      <c r="AU1079" s="21"/>
      <c r="AV1079" s="21"/>
      <c r="AW1079" s="21"/>
      <c r="AX1079" s="21"/>
      <c r="AY1079" s="21"/>
      <c r="AZ1079" s="21"/>
      <c r="BA1079" s="21"/>
      <c r="BB1079" s="21"/>
      <c r="BC1079" s="21"/>
      <c r="BD1079" s="21"/>
      <c r="BE1079" s="21"/>
      <c r="BF1079" s="21"/>
      <c r="BG1079" s="21"/>
      <c r="BH1079" s="21"/>
      <c r="BI1079" s="21"/>
      <c r="BJ1079" s="21"/>
      <c r="BK1079" s="10"/>
    </row>
    <row r="1080">
      <c r="A1080" s="50"/>
      <c r="D1080" s="51"/>
      <c r="E1080" s="32">
        <v>11.0</v>
      </c>
      <c r="F1080" s="19">
        <v>90.0</v>
      </c>
      <c r="G1080" s="21"/>
      <c r="H1080" s="21"/>
      <c r="I1080" s="21"/>
      <c r="J1080" s="21"/>
      <c r="K1080" s="21"/>
      <c r="L1080" s="21"/>
      <c r="M1080" s="21"/>
      <c r="N1080" s="21"/>
      <c r="O1080" s="21"/>
      <c r="P1080" s="21"/>
      <c r="Q1080" s="21"/>
      <c r="R1080" s="21"/>
      <c r="S1080" s="21"/>
      <c r="T1080" s="18">
        <v>216.0</v>
      </c>
      <c r="U1080" s="21"/>
      <c r="V1080" s="21"/>
      <c r="W1080" s="21"/>
      <c r="X1080" s="21"/>
      <c r="Y1080" s="21"/>
      <c r="Z1080" s="21"/>
      <c r="AA1080" s="21"/>
      <c r="AB1080" s="21"/>
      <c r="AC1080" s="21"/>
      <c r="AD1080" s="21"/>
      <c r="AE1080" s="21"/>
      <c r="AF1080" s="21"/>
      <c r="AG1080" s="21"/>
      <c r="AH1080" s="21"/>
      <c r="AI1080" s="21"/>
      <c r="AJ1080" s="21"/>
      <c r="AK1080" s="21"/>
      <c r="AL1080" s="21"/>
      <c r="AM1080" s="21"/>
      <c r="AN1080" s="21"/>
      <c r="AO1080" s="21"/>
      <c r="AP1080" s="21"/>
      <c r="AQ1080" s="21"/>
      <c r="AR1080" s="21"/>
      <c r="AS1080" s="21"/>
      <c r="AT1080" s="21"/>
      <c r="AU1080" s="21"/>
      <c r="AV1080" s="21"/>
      <c r="AW1080" s="21"/>
      <c r="AX1080" s="21"/>
      <c r="AY1080" s="21"/>
      <c r="AZ1080" s="21"/>
      <c r="BA1080" s="21"/>
      <c r="BB1080" s="21"/>
      <c r="BC1080" s="21"/>
      <c r="BD1080" s="21"/>
      <c r="BE1080" s="21"/>
      <c r="BF1080" s="21"/>
      <c r="BG1080" s="21"/>
      <c r="BH1080" s="21"/>
      <c r="BI1080" s="21"/>
      <c r="BJ1080" s="21"/>
      <c r="BK1080" s="10"/>
    </row>
    <row r="1081">
      <c r="A1081" s="50"/>
      <c r="D1081" s="51"/>
      <c r="E1081" s="32">
        <v>12.0</v>
      </c>
      <c r="F1081" s="19">
        <v>99.0</v>
      </c>
      <c r="G1081" s="21"/>
      <c r="H1081" s="21"/>
      <c r="I1081" s="21"/>
      <c r="J1081" s="21"/>
      <c r="K1081" s="21"/>
      <c r="L1081" s="21"/>
      <c r="M1081" s="21"/>
      <c r="N1081" s="21"/>
      <c r="O1081" s="21"/>
      <c r="P1081" s="21"/>
      <c r="Q1081" s="21"/>
      <c r="R1081" s="21"/>
      <c r="S1081" s="21"/>
      <c r="T1081" s="18">
        <v>238.0</v>
      </c>
      <c r="U1081" s="21"/>
      <c r="V1081" s="21"/>
      <c r="W1081" s="21"/>
      <c r="X1081" s="21"/>
      <c r="Y1081" s="21"/>
      <c r="Z1081" s="21"/>
      <c r="AA1081" s="21"/>
      <c r="AB1081" s="21"/>
      <c r="AC1081" s="21"/>
      <c r="AD1081" s="21"/>
      <c r="AE1081" s="21"/>
      <c r="AF1081" s="21"/>
      <c r="AG1081" s="21"/>
      <c r="AH1081" s="21"/>
      <c r="AI1081" s="21"/>
      <c r="AJ1081" s="21"/>
      <c r="AK1081" s="21"/>
      <c r="AL1081" s="21"/>
      <c r="AM1081" s="21"/>
      <c r="AN1081" s="21"/>
      <c r="AO1081" s="21"/>
      <c r="AP1081" s="21"/>
      <c r="AQ1081" s="21"/>
      <c r="AR1081" s="21"/>
      <c r="AS1081" s="21"/>
      <c r="AT1081" s="21"/>
      <c r="AU1081" s="21"/>
      <c r="AV1081" s="21"/>
      <c r="AW1081" s="21"/>
      <c r="AX1081" s="21"/>
      <c r="AY1081" s="21"/>
      <c r="AZ1081" s="21"/>
      <c r="BA1081" s="21"/>
      <c r="BB1081" s="21"/>
      <c r="BC1081" s="21"/>
      <c r="BD1081" s="21"/>
      <c r="BE1081" s="21"/>
      <c r="BF1081" s="21"/>
      <c r="BG1081" s="21"/>
      <c r="BH1081" s="21"/>
      <c r="BI1081" s="21"/>
      <c r="BJ1081" s="21"/>
      <c r="BK1081" s="10"/>
    </row>
    <row r="1082">
      <c r="A1082" s="52"/>
      <c r="B1082" s="53"/>
      <c r="C1082" s="53"/>
      <c r="D1082" s="54"/>
      <c r="E1082" s="32">
        <v>13.0</v>
      </c>
      <c r="F1082" s="19">
        <v>109.0</v>
      </c>
      <c r="G1082" s="22"/>
      <c r="H1082" s="22"/>
      <c r="I1082" s="22"/>
      <c r="J1082" s="22"/>
      <c r="K1082" s="22"/>
      <c r="L1082" s="22"/>
      <c r="M1082" s="22"/>
      <c r="N1082" s="22"/>
      <c r="O1082" s="22"/>
      <c r="P1082" s="22"/>
      <c r="Q1082" s="22"/>
      <c r="R1082" s="22"/>
      <c r="S1082" s="22"/>
      <c r="T1082" s="18">
        <v>261.0</v>
      </c>
      <c r="U1082" s="22"/>
      <c r="V1082" s="22"/>
      <c r="W1082" s="22"/>
      <c r="X1082" s="22"/>
      <c r="Y1082" s="22"/>
      <c r="Z1082" s="22"/>
      <c r="AA1082" s="22"/>
      <c r="AB1082" s="22"/>
      <c r="AC1082" s="22"/>
      <c r="AD1082" s="22"/>
      <c r="AE1082" s="22"/>
      <c r="AF1082" s="22"/>
      <c r="AG1082" s="22"/>
      <c r="AH1082" s="22"/>
      <c r="AI1082" s="22"/>
      <c r="AJ1082" s="22"/>
      <c r="AK1082" s="22"/>
      <c r="AL1082" s="22"/>
      <c r="AM1082" s="22"/>
      <c r="AN1082" s="22"/>
      <c r="AO1082" s="22"/>
      <c r="AP1082" s="22"/>
      <c r="AQ1082" s="22"/>
      <c r="AR1082" s="22"/>
      <c r="AS1082" s="22"/>
      <c r="AT1082" s="22"/>
      <c r="AU1082" s="22"/>
      <c r="AV1082" s="22"/>
      <c r="AW1082" s="22"/>
      <c r="AX1082" s="22"/>
      <c r="AY1082" s="22"/>
      <c r="AZ1082" s="22"/>
      <c r="BA1082" s="22"/>
      <c r="BB1082" s="22"/>
      <c r="BC1082" s="22"/>
      <c r="BD1082" s="22"/>
      <c r="BE1082" s="22"/>
      <c r="BF1082" s="22"/>
      <c r="BG1082" s="22"/>
      <c r="BH1082" s="22"/>
      <c r="BI1082" s="22"/>
      <c r="BJ1082" s="22"/>
      <c r="BK1082" s="10"/>
    </row>
    <row r="1083">
      <c r="A1083" s="47" t="s">
        <v>317</v>
      </c>
      <c r="B1083" s="48"/>
      <c r="C1083" s="48"/>
      <c r="D1083" s="49"/>
      <c r="E1083" s="18">
        <v>1.0</v>
      </c>
      <c r="F1083" s="18">
        <v>52.0</v>
      </c>
      <c r="G1083" s="16" t="s">
        <v>85</v>
      </c>
      <c r="H1083" s="36" t="s">
        <v>85</v>
      </c>
      <c r="I1083" s="36" t="s">
        <v>85</v>
      </c>
      <c r="J1083" s="36" t="s">
        <v>85</v>
      </c>
      <c r="K1083" s="36" t="s">
        <v>85</v>
      </c>
      <c r="L1083" s="16" t="s">
        <v>85</v>
      </c>
      <c r="M1083" s="36" t="s">
        <v>85</v>
      </c>
      <c r="N1083" s="16" t="s">
        <v>85</v>
      </c>
      <c r="O1083" s="16" t="s">
        <v>85</v>
      </c>
      <c r="P1083" s="16" t="s">
        <v>85</v>
      </c>
      <c r="Q1083" s="16" t="s">
        <v>85</v>
      </c>
      <c r="R1083" s="16" t="s">
        <v>85</v>
      </c>
      <c r="S1083" s="16" t="s">
        <v>85</v>
      </c>
      <c r="T1083" s="18">
        <v>715.0</v>
      </c>
      <c r="U1083" s="16" t="s">
        <v>85</v>
      </c>
      <c r="V1083" s="36" t="s">
        <v>85</v>
      </c>
      <c r="W1083" s="16" t="s">
        <v>85</v>
      </c>
      <c r="X1083" s="16" t="s">
        <v>85</v>
      </c>
      <c r="Y1083" s="36" t="s">
        <v>85</v>
      </c>
      <c r="Z1083" s="36" t="s">
        <v>85</v>
      </c>
      <c r="AA1083" s="36" t="s">
        <v>85</v>
      </c>
      <c r="AB1083" s="16" t="s">
        <v>85</v>
      </c>
      <c r="AC1083" s="16" t="s">
        <v>85</v>
      </c>
      <c r="AD1083" s="16" t="s">
        <v>85</v>
      </c>
      <c r="AE1083" s="16" t="s">
        <v>108</v>
      </c>
      <c r="AF1083" s="16" t="s">
        <v>98</v>
      </c>
      <c r="AG1083" s="16" t="s">
        <v>95</v>
      </c>
      <c r="AH1083" s="16" t="s">
        <v>85</v>
      </c>
      <c r="AI1083" s="16" t="s">
        <v>104</v>
      </c>
      <c r="AJ1083" s="16" t="s">
        <v>85</v>
      </c>
      <c r="AK1083" s="16" t="s">
        <v>85</v>
      </c>
      <c r="AL1083" s="16" t="s">
        <v>85</v>
      </c>
      <c r="AM1083" s="16" t="s">
        <v>85</v>
      </c>
      <c r="AN1083" s="16" t="s">
        <v>85</v>
      </c>
      <c r="AO1083" s="16" t="s">
        <v>85</v>
      </c>
      <c r="AP1083" s="16" t="s">
        <v>85</v>
      </c>
      <c r="AQ1083" s="16" t="s">
        <v>85</v>
      </c>
      <c r="AR1083" s="16" t="s">
        <v>85</v>
      </c>
      <c r="AS1083" s="16" t="s">
        <v>85</v>
      </c>
      <c r="AT1083" s="16" t="s">
        <v>85</v>
      </c>
      <c r="AU1083" s="16" t="s">
        <v>85</v>
      </c>
      <c r="AV1083" s="16" t="s">
        <v>85</v>
      </c>
      <c r="AW1083" s="16" t="s">
        <v>85</v>
      </c>
      <c r="AX1083" s="16" t="s">
        <v>85</v>
      </c>
      <c r="AY1083" s="16" t="s">
        <v>85</v>
      </c>
      <c r="AZ1083" s="16" t="s">
        <v>85</v>
      </c>
      <c r="BA1083" s="16" t="s">
        <v>85</v>
      </c>
      <c r="BB1083" s="16" t="s">
        <v>85</v>
      </c>
      <c r="BC1083" s="16" t="s">
        <v>85</v>
      </c>
      <c r="BD1083" s="16" t="s">
        <v>85</v>
      </c>
      <c r="BE1083" s="16" t="s">
        <v>85</v>
      </c>
      <c r="BF1083" s="16" t="s">
        <v>85</v>
      </c>
      <c r="BG1083" s="16" t="s">
        <v>85</v>
      </c>
      <c r="BH1083" s="16" t="s">
        <v>85</v>
      </c>
      <c r="BI1083" s="16" t="s">
        <v>85</v>
      </c>
      <c r="BJ1083" s="16" t="s">
        <v>85</v>
      </c>
      <c r="BK1083" s="10"/>
    </row>
    <row r="1084">
      <c r="A1084" s="50"/>
      <c r="D1084" s="51"/>
      <c r="E1084" s="18">
        <v>2.0</v>
      </c>
      <c r="F1084" s="19">
        <v>57.0</v>
      </c>
      <c r="G1084" s="21"/>
      <c r="H1084" s="21"/>
      <c r="I1084" s="21"/>
      <c r="J1084" s="21"/>
      <c r="K1084" s="21"/>
      <c r="L1084" s="21"/>
      <c r="M1084" s="21"/>
      <c r="N1084" s="21"/>
      <c r="O1084" s="21"/>
      <c r="P1084" s="21"/>
      <c r="Q1084" s="21"/>
      <c r="R1084" s="21"/>
      <c r="S1084" s="21"/>
      <c r="T1084" s="19">
        <v>786.0</v>
      </c>
      <c r="U1084" s="21"/>
      <c r="V1084" s="21"/>
      <c r="W1084" s="21"/>
      <c r="X1084" s="21"/>
      <c r="Y1084" s="21"/>
      <c r="Z1084" s="21"/>
      <c r="AA1084" s="21"/>
      <c r="AB1084" s="21"/>
      <c r="AC1084" s="21"/>
      <c r="AD1084" s="21"/>
      <c r="AE1084" s="21"/>
      <c r="AF1084" s="21"/>
      <c r="AG1084" s="21"/>
      <c r="AH1084" s="21"/>
      <c r="AI1084" s="21"/>
      <c r="AJ1084" s="21"/>
      <c r="AK1084" s="21"/>
      <c r="AL1084" s="21"/>
      <c r="AM1084" s="21"/>
      <c r="AN1084" s="21"/>
      <c r="AO1084" s="21"/>
      <c r="AP1084" s="21"/>
      <c r="AQ1084" s="21"/>
      <c r="AR1084" s="21"/>
      <c r="AS1084" s="21"/>
      <c r="AT1084" s="21"/>
      <c r="AU1084" s="21"/>
      <c r="AV1084" s="21"/>
      <c r="AW1084" s="21"/>
      <c r="AX1084" s="21"/>
      <c r="AY1084" s="21"/>
      <c r="AZ1084" s="21"/>
      <c r="BA1084" s="21"/>
      <c r="BB1084" s="21"/>
      <c r="BC1084" s="21"/>
      <c r="BD1084" s="21"/>
      <c r="BE1084" s="21"/>
      <c r="BF1084" s="21"/>
      <c r="BG1084" s="21"/>
      <c r="BH1084" s="21"/>
      <c r="BI1084" s="21"/>
      <c r="BJ1084" s="21"/>
      <c r="BK1084" s="10"/>
    </row>
    <row r="1085">
      <c r="A1085" s="50"/>
      <c r="D1085" s="51"/>
      <c r="E1085" s="18">
        <v>3.0</v>
      </c>
      <c r="F1085" s="19">
        <v>62.0</v>
      </c>
      <c r="G1085" s="21"/>
      <c r="H1085" s="21"/>
      <c r="I1085" s="21"/>
      <c r="J1085" s="21"/>
      <c r="K1085" s="21"/>
      <c r="L1085" s="21"/>
      <c r="M1085" s="21"/>
      <c r="N1085" s="21"/>
      <c r="O1085" s="21"/>
      <c r="P1085" s="21"/>
      <c r="Q1085" s="21"/>
      <c r="R1085" s="21"/>
      <c r="S1085" s="21"/>
      <c r="T1085" s="19">
        <v>865.0</v>
      </c>
      <c r="U1085" s="21"/>
      <c r="V1085" s="21"/>
      <c r="W1085" s="21"/>
      <c r="X1085" s="21"/>
      <c r="Y1085" s="21"/>
      <c r="Z1085" s="21"/>
      <c r="AA1085" s="21"/>
      <c r="AB1085" s="21"/>
      <c r="AC1085" s="21"/>
      <c r="AD1085" s="21"/>
      <c r="AE1085" s="21"/>
      <c r="AF1085" s="21"/>
      <c r="AG1085" s="21"/>
      <c r="AH1085" s="21"/>
      <c r="AI1085" s="21"/>
      <c r="AJ1085" s="21"/>
      <c r="AK1085" s="21"/>
      <c r="AL1085" s="21"/>
      <c r="AM1085" s="21"/>
      <c r="AN1085" s="21"/>
      <c r="AO1085" s="21"/>
      <c r="AP1085" s="21"/>
      <c r="AQ1085" s="21"/>
      <c r="AR1085" s="21"/>
      <c r="AS1085" s="21"/>
      <c r="AT1085" s="21"/>
      <c r="AU1085" s="21"/>
      <c r="AV1085" s="21"/>
      <c r="AW1085" s="21"/>
      <c r="AX1085" s="21"/>
      <c r="AY1085" s="21"/>
      <c r="AZ1085" s="21"/>
      <c r="BA1085" s="21"/>
      <c r="BB1085" s="21"/>
      <c r="BC1085" s="21"/>
      <c r="BD1085" s="21"/>
      <c r="BE1085" s="21"/>
      <c r="BF1085" s="21"/>
      <c r="BG1085" s="21"/>
      <c r="BH1085" s="21"/>
      <c r="BI1085" s="21"/>
      <c r="BJ1085" s="21"/>
      <c r="BK1085" s="10"/>
    </row>
    <row r="1086">
      <c r="A1086" s="50"/>
      <c r="D1086" s="51"/>
      <c r="E1086" s="18">
        <v>4.0</v>
      </c>
      <c r="F1086" s="19">
        <v>69.0</v>
      </c>
      <c r="G1086" s="21"/>
      <c r="H1086" s="21"/>
      <c r="I1086" s="21"/>
      <c r="J1086" s="21"/>
      <c r="K1086" s="21"/>
      <c r="L1086" s="21"/>
      <c r="M1086" s="21"/>
      <c r="N1086" s="21"/>
      <c r="O1086" s="21"/>
      <c r="P1086" s="21"/>
      <c r="Q1086" s="21"/>
      <c r="R1086" s="21"/>
      <c r="S1086" s="21"/>
      <c r="T1086" s="19">
        <v>950.0</v>
      </c>
      <c r="U1086" s="21"/>
      <c r="V1086" s="21"/>
      <c r="W1086" s="21"/>
      <c r="X1086" s="21"/>
      <c r="Y1086" s="21"/>
      <c r="Z1086" s="21"/>
      <c r="AA1086" s="21"/>
      <c r="AB1086" s="21"/>
      <c r="AC1086" s="21"/>
      <c r="AD1086" s="21"/>
      <c r="AE1086" s="21"/>
      <c r="AF1086" s="21"/>
      <c r="AG1086" s="21"/>
      <c r="AH1086" s="21"/>
      <c r="AI1086" s="21"/>
      <c r="AJ1086" s="21"/>
      <c r="AK1086" s="21"/>
      <c r="AL1086" s="21"/>
      <c r="AM1086" s="21"/>
      <c r="AN1086" s="21"/>
      <c r="AO1086" s="21"/>
      <c r="AP1086" s="21"/>
      <c r="AQ1086" s="21"/>
      <c r="AR1086" s="21"/>
      <c r="AS1086" s="21"/>
      <c r="AT1086" s="21"/>
      <c r="AU1086" s="21"/>
      <c r="AV1086" s="21"/>
      <c r="AW1086" s="21"/>
      <c r="AX1086" s="21"/>
      <c r="AY1086" s="21"/>
      <c r="AZ1086" s="21"/>
      <c r="BA1086" s="21"/>
      <c r="BB1086" s="21"/>
      <c r="BC1086" s="21"/>
      <c r="BD1086" s="21"/>
      <c r="BE1086" s="21"/>
      <c r="BF1086" s="21"/>
      <c r="BG1086" s="21"/>
      <c r="BH1086" s="21"/>
      <c r="BI1086" s="21"/>
      <c r="BJ1086" s="21"/>
      <c r="BK1086" s="10"/>
    </row>
    <row r="1087">
      <c r="A1087" s="50"/>
      <c r="D1087" s="51"/>
      <c r="E1087" s="18">
        <v>5.0</v>
      </c>
      <c r="F1087" s="19">
        <v>75.0</v>
      </c>
      <c r="G1087" s="21"/>
      <c r="H1087" s="21"/>
      <c r="I1087" s="21"/>
      <c r="J1087" s="21"/>
      <c r="K1087" s="21"/>
      <c r="L1087" s="21"/>
      <c r="M1087" s="21"/>
      <c r="N1087" s="21"/>
      <c r="O1087" s="21"/>
      <c r="P1087" s="21"/>
      <c r="Q1087" s="21"/>
      <c r="R1087" s="21"/>
      <c r="S1087" s="21"/>
      <c r="T1087" s="19">
        <v>1043.0</v>
      </c>
      <c r="U1087" s="21"/>
      <c r="V1087" s="21"/>
      <c r="W1087" s="21"/>
      <c r="X1087" s="21"/>
      <c r="Y1087" s="21"/>
      <c r="Z1087" s="21"/>
      <c r="AA1087" s="21"/>
      <c r="AB1087" s="21"/>
      <c r="AC1087" s="21"/>
      <c r="AD1087" s="21"/>
      <c r="AE1087" s="21"/>
      <c r="AF1087" s="21"/>
      <c r="AG1087" s="21"/>
      <c r="AH1087" s="21"/>
      <c r="AI1087" s="21"/>
      <c r="AJ1087" s="21"/>
      <c r="AK1087" s="21"/>
      <c r="AL1087" s="21"/>
      <c r="AM1087" s="21"/>
      <c r="AN1087" s="21"/>
      <c r="AO1087" s="21"/>
      <c r="AP1087" s="21"/>
      <c r="AQ1087" s="21"/>
      <c r="AR1087" s="21"/>
      <c r="AS1087" s="21"/>
      <c r="AT1087" s="21"/>
      <c r="AU1087" s="21"/>
      <c r="AV1087" s="21"/>
      <c r="AW1087" s="21"/>
      <c r="AX1087" s="21"/>
      <c r="AY1087" s="21"/>
      <c r="AZ1087" s="21"/>
      <c r="BA1087" s="21"/>
      <c r="BB1087" s="21"/>
      <c r="BC1087" s="21"/>
      <c r="BD1087" s="21"/>
      <c r="BE1087" s="21"/>
      <c r="BF1087" s="21"/>
      <c r="BG1087" s="21"/>
      <c r="BH1087" s="21"/>
      <c r="BI1087" s="21"/>
      <c r="BJ1087" s="21"/>
      <c r="BK1087" s="10"/>
    </row>
    <row r="1088">
      <c r="A1088" s="50"/>
      <c r="D1088" s="51"/>
      <c r="E1088" s="18">
        <v>6.0</v>
      </c>
      <c r="F1088" s="19">
        <v>83.0</v>
      </c>
      <c r="G1088" s="21"/>
      <c r="H1088" s="21"/>
      <c r="I1088" s="21"/>
      <c r="J1088" s="21"/>
      <c r="K1088" s="21"/>
      <c r="L1088" s="21"/>
      <c r="M1088" s="21"/>
      <c r="N1088" s="21"/>
      <c r="O1088" s="21"/>
      <c r="P1088" s="21"/>
      <c r="Q1088" s="21"/>
      <c r="R1088" s="21"/>
      <c r="S1088" s="21"/>
      <c r="T1088" s="19">
        <v>1144.0</v>
      </c>
      <c r="U1088" s="21"/>
      <c r="V1088" s="21"/>
      <c r="W1088" s="21"/>
      <c r="X1088" s="21"/>
      <c r="Y1088" s="21"/>
      <c r="Z1088" s="21"/>
      <c r="AA1088" s="21"/>
      <c r="AB1088" s="21"/>
      <c r="AC1088" s="21"/>
      <c r="AD1088" s="21"/>
      <c r="AE1088" s="21"/>
      <c r="AF1088" s="21"/>
      <c r="AG1088" s="21"/>
      <c r="AH1088" s="21"/>
      <c r="AI1088" s="21"/>
      <c r="AJ1088" s="21"/>
      <c r="AK1088" s="21"/>
      <c r="AL1088" s="21"/>
      <c r="AM1088" s="21"/>
      <c r="AN1088" s="21"/>
      <c r="AO1088" s="21"/>
      <c r="AP1088" s="21"/>
      <c r="AQ1088" s="21"/>
      <c r="AR1088" s="21"/>
      <c r="AS1088" s="21"/>
      <c r="AT1088" s="21"/>
      <c r="AU1088" s="21"/>
      <c r="AV1088" s="21"/>
      <c r="AW1088" s="21"/>
      <c r="AX1088" s="21"/>
      <c r="AY1088" s="21"/>
      <c r="AZ1088" s="21"/>
      <c r="BA1088" s="21"/>
      <c r="BB1088" s="21"/>
      <c r="BC1088" s="21"/>
      <c r="BD1088" s="21"/>
      <c r="BE1088" s="21"/>
      <c r="BF1088" s="21"/>
      <c r="BG1088" s="21"/>
      <c r="BH1088" s="21"/>
      <c r="BI1088" s="21"/>
      <c r="BJ1088" s="21"/>
      <c r="BK1088" s="10"/>
    </row>
    <row r="1089">
      <c r="A1089" s="50"/>
      <c r="D1089" s="51"/>
      <c r="E1089" s="18">
        <v>7.0</v>
      </c>
      <c r="F1089" s="19">
        <v>91.0</v>
      </c>
      <c r="G1089" s="21"/>
      <c r="H1089" s="21"/>
      <c r="I1089" s="21"/>
      <c r="J1089" s="21"/>
      <c r="K1089" s="21"/>
      <c r="L1089" s="21"/>
      <c r="M1089" s="21"/>
      <c r="N1089" s="21"/>
      <c r="O1089" s="21"/>
      <c r="P1089" s="21"/>
      <c r="Q1089" s="21"/>
      <c r="R1089" s="21"/>
      <c r="S1089" s="21"/>
      <c r="T1089" s="19">
        <v>1258.0</v>
      </c>
      <c r="U1089" s="21"/>
      <c r="V1089" s="21"/>
      <c r="W1089" s="21"/>
      <c r="X1089" s="21"/>
      <c r="Y1089" s="21"/>
      <c r="Z1089" s="21"/>
      <c r="AA1089" s="21"/>
      <c r="AB1089" s="21"/>
      <c r="AC1089" s="21"/>
      <c r="AD1089" s="21"/>
      <c r="AE1089" s="21"/>
      <c r="AF1089" s="21"/>
      <c r="AG1089" s="21"/>
      <c r="AH1089" s="21"/>
      <c r="AI1089" s="21"/>
      <c r="AJ1089" s="21"/>
      <c r="AK1089" s="21"/>
      <c r="AL1089" s="21"/>
      <c r="AM1089" s="21"/>
      <c r="AN1089" s="21"/>
      <c r="AO1089" s="21"/>
      <c r="AP1089" s="21"/>
      <c r="AQ1089" s="21"/>
      <c r="AR1089" s="21"/>
      <c r="AS1089" s="21"/>
      <c r="AT1089" s="21"/>
      <c r="AU1089" s="21"/>
      <c r="AV1089" s="21"/>
      <c r="AW1089" s="21"/>
      <c r="AX1089" s="21"/>
      <c r="AY1089" s="21"/>
      <c r="AZ1089" s="21"/>
      <c r="BA1089" s="21"/>
      <c r="BB1089" s="21"/>
      <c r="BC1089" s="21"/>
      <c r="BD1089" s="21"/>
      <c r="BE1089" s="21"/>
      <c r="BF1089" s="21"/>
      <c r="BG1089" s="21"/>
      <c r="BH1089" s="21"/>
      <c r="BI1089" s="21"/>
      <c r="BJ1089" s="21"/>
      <c r="BK1089" s="10"/>
    </row>
    <row r="1090">
      <c r="A1090" s="50"/>
      <c r="D1090" s="51"/>
      <c r="E1090" s="18">
        <v>8.0</v>
      </c>
      <c r="F1090" s="19">
        <v>100.0</v>
      </c>
      <c r="G1090" s="21"/>
      <c r="H1090" s="21"/>
      <c r="I1090" s="21"/>
      <c r="J1090" s="21"/>
      <c r="K1090" s="21"/>
      <c r="L1090" s="21"/>
      <c r="M1090" s="21"/>
      <c r="N1090" s="21"/>
      <c r="O1090" s="21"/>
      <c r="P1090" s="21"/>
      <c r="Q1090" s="21"/>
      <c r="R1090" s="21"/>
      <c r="S1090" s="21"/>
      <c r="T1090" s="19">
        <v>1379.0</v>
      </c>
      <c r="U1090" s="21"/>
      <c r="V1090" s="21"/>
      <c r="W1090" s="21"/>
      <c r="X1090" s="21"/>
      <c r="Y1090" s="21"/>
      <c r="Z1090" s="21"/>
      <c r="AA1090" s="21"/>
      <c r="AB1090" s="21"/>
      <c r="AC1090" s="21"/>
      <c r="AD1090" s="21"/>
      <c r="AE1090" s="21"/>
      <c r="AF1090" s="21"/>
      <c r="AG1090" s="21"/>
      <c r="AH1090" s="21"/>
      <c r="AI1090" s="21"/>
      <c r="AJ1090" s="21"/>
      <c r="AK1090" s="21"/>
      <c r="AL1090" s="21"/>
      <c r="AM1090" s="21"/>
      <c r="AN1090" s="21"/>
      <c r="AO1090" s="21"/>
      <c r="AP1090" s="21"/>
      <c r="AQ1090" s="21"/>
      <c r="AR1090" s="21"/>
      <c r="AS1090" s="21"/>
      <c r="AT1090" s="21"/>
      <c r="AU1090" s="21"/>
      <c r="AV1090" s="21"/>
      <c r="AW1090" s="21"/>
      <c r="AX1090" s="21"/>
      <c r="AY1090" s="21"/>
      <c r="AZ1090" s="21"/>
      <c r="BA1090" s="21"/>
      <c r="BB1090" s="21"/>
      <c r="BC1090" s="21"/>
      <c r="BD1090" s="21"/>
      <c r="BE1090" s="21"/>
      <c r="BF1090" s="21"/>
      <c r="BG1090" s="21"/>
      <c r="BH1090" s="21"/>
      <c r="BI1090" s="21"/>
      <c r="BJ1090" s="21"/>
      <c r="BK1090" s="10"/>
    </row>
    <row r="1091">
      <c r="A1091" s="50"/>
      <c r="D1091" s="51"/>
      <c r="E1091" s="18">
        <v>9.0</v>
      </c>
      <c r="F1091" s="19">
        <v>110.0</v>
      </c>
      <c r="G1091" s="21"/>
      <c r="H1091" s="21"/>
      <c r="I1091" s="21"/>
      <c r="J1091" s="21"/>
      <c r="K1091" s="21"/>
      <c r="L1091" s="21"/>
      <c r="M1091" s="21"/>
      <c r="N1091" s="21"/>
      <c r="O1091" s="21"/>
      <c r="P1091" s="21"/>
      <c r="Q1091" s="21"/>
      <c r="R1091" s="21"/>
      <c r="S1091" s="21"/>
      <c r="T1091" s="19">
        <v>1515.0</v>
      </c>
      <c r="U1091" s="21"/>
      <c r="V1091" s="21"/>
      <c r="W1091" s="21"/>
      <c r="X1091" s="21"/>
      <c r="Y1091" s="21"/>
      <c r="Z1091" s="21"/>
      <c r="AA1091" s="21"/>
      <c r="AB1091" s="21"/>
      <c r="AC1091" s="21"/>
      <c r="AD1091" s="21"/>
      <c r="AE1091" s="21"/>
      <c r="AF1091" s="21"/>
      <c r="AG1091" s="21"/>
      <c r="AH1091" s="21"/>
      <c r="AI1091" s="21"/>
      <c r="AJ1091" s="21"/>
      <c r="AK1091" s="21"/>
      <c r="AL1091" s="21"/>
      <c r="AM1091" s="21"/>
      <c r="AN1091" s="21"/>
      <c r="AO1091" s="21"/>
      <c r="AP1091" s="21"/>
      <c r="AQ1091" s="21"/>
      <c r="AR1091" s="21"/>
      <c r="AS1091" s="21"/>
      <c r="AT1091" s="21"/>
      <c r="AU1091" s="21"/>
      <c r="AV1091" s="21"/>
      <c r="AW1091" s="21"/>
      <c r="AX1091" s="21"/>
      <c r="AY1091" s="21"/>
      <c r="AZ1091" s="21"/>
      <c r="BA1091" s="21"/>
      <c r="BB1091" s="21"/>
      <c r="BC1091" s="21"/>
      <c r="BD1091" s="21"/>
      <c r="BE1091" s="21"/>
      <c r="BF1091" s="21"/>
      <c r="BG1091" s="21"/>
      <c r="BH1091" s="21"/>
      <c r="BI1091" s="21"/>
      <c r="BJ1091" s="21"/>
      <c r="BK1091" s="10"/>
    </row>
    <row r="1092">
      <c r="A1092" s="50"/>
      <c r="D1092" s="51"/>
      <c r="E1092" s="18">
        <v>10.0</v>
      </c>
      <c r="F1092" s="19">
        <v>121.0</v>
      </c>
      <c r="G1092" s="21"/>
      <c r="H1092" s="21"/>
      <c r="I1092" s="21"/>
      <c r="J1092" s="21"/>
      <c r="K1092" s="21"/>
      <c r="L1092" s="21"/>
      <c r="M1092" s="21"/>
      <c r="N1092" s="21"/>
      <c r="O1092" s="21"/>
      <c r="P1092" s="21"/>
      <c r="Q1092" s="21"/>
      <c r="R1092" s="21"/>
      <c r="S1092" s="21"/>
      <c r="T1092" s="19">
        <v>1665.0</v>
      </c>
      <c r="U1092" s="21"/>
      <c r="V1092" s="21"/>
      <c r="W1092" s="21"/>
      <c r="X1092" s="21"/>
      <c r="Y1092" s="21"/>
      <c r="Z1092" s="21"/>
      <c r="AA1092" s="21"/>
      <c r="AB1092" s="21"/>
      <c r="AC1092" s="21"/>
      <c r="AD1092" s="21"/>
      <c r="AE1092" s="21"/>
      <c r="AF1092" s="21"/>
      <c r="AG1092" s="21"/>
      <c r="AH1092" s="21"/>
      <c r="AI1092" s="21"/>
      <c r="AJ1092" s="21"/>
      <c r="AK1092" s="21"/>
      <c r="AL1092" s="21"/>
      <c r="AM1092" s="21"/>
      <c r="AN1092" s="21"/>
      <c r="AO1092" s="21"/>
      <c r="AP1092" s="21"/>
      <c r="AQ1092" s="21"/>
      <c r="AR1092" s="21"/>
      <c r="AS1092" s="21"/>
      <c r="AT1092" s="21"/>
      <c r="AU1092" s="21"/>
      <c r="AV1092" s="21"/>
      <c r="AW1092" s="21"/>
      <c r="AX1092" s="21"/>
      <c r="AY1092" s="21"/>
      <c r="AZ1092" s="21"/>
      <c r="BA1092" s="21"/>
      <c r="BB1092" s="21"/>
      <c r="BC1092" s="21"/>
      <c r="BD1092" s="21"/>
      <c r="BE1092" s="21"/>
      <c r="BF1092" s="21"/>
      <c r="BG1092" s="21"/>
      <c r="BH1092" s="21"/>
      <c r="BI1092" s="21"/>
      <c r="BJ1092" s="21"/>
      <c r="BK1092" s="10"/>
    </row>
    <row r="1093">
      <c r="A1093" s="50"/>
      <c r="D1093" s="51"/>
      <c r="E1093" s="18">
        <v>11.0</v>
      </c>
      <c r="F1093" s="19">
        <v>133.0</v>
      </c>
      <c r="G1093" s="21"/>
      <c r="H1093" s="21"/>
      <c r="I1093" s="21"/>
      <c r="J1093" s="21"/>
      <c r="K1093" s="21"/>
      <c r="L1093" s="21"/>
      <c r="M1093" s="21"/>
      <c r="N1093" s="21"/>
      <c r="O1093" s="21"/>
      <c r="P1093" s="21"/>
      <c r="Q1093" s="21"/>
      <c r="R1093" s="21"/>
      <c r="S1093" s="21"/>
      <c r="T1093" s="19">
        <v>1830.0</v>
      </c>
      <c r="U1093" s="21"/>
      <c r="V1093" s="21"/>
      <c r="W1093" s="21"/>
      <c r="X1093" s="21"/>
      <c r="Y1093" s="21"/>
      <c r="Z1093" s="21"/>
      <c r="AA1093" s="21"/>
      <c r="AB1093" s="21"/>
      <c r="AC1093" s="21"/>
      <c r="AD1093" s="21"/>
      <c r="AE1093" s="21"/>
      <c r="AF1093" s="21"/>
      <c r="AG1093" s="21"/>
      <c r="AH1093" s="21"/>
      <c r="AI1093" s="21"/>
      <c r="AJ1093" s="21"/>
      <c r="AK1093" s="21"/>
      <c r="AL1093" s="21"/>
      <c r="AM1093" s="21"/>
      <c r="AN1093" s="21"/>
      <c r="AO1093" s="21"/>
      <c r="AP1093" s="21"/>
      <c r="AQ1093" s="21"/>
      <c r="AR1093" s="21"/>
      <c r="AS1093" s="21"/>
      <c r="AT1093" s="21"/>
      <c r="AU1093" s="21"/>
      <c r="AV1093" s="21"/>
      <c r="AW1093" s="21"/>
      <c r="AX1093" s="21"/>
      <c r="AY1093" s="21"/>
      <c r="AZ1093" s="21"/>
      <c r="BA1093" s="21"/>
      <c r="BB1093" s="21"/>
      <c r="BC1093" s="21"/>
      <c r="BD1093" s="21"/>
      <c r="BE1093" s="21"/>
      <c r="BF1093" s="21"/>
      <c r="BG1093" s="21"/>
      <c r="BH1093" s="21"/>
      <c r="BI1093" s="21"/>
      <c r="BJ1093" s="21"/>
      <c r="BK1093" s="10"/>
    </row>
    <row r="1094">
      <c r="A1094" s="50"/>
      <c r="D1094" s="51"/>
      <c r="E1094" s="18">
        <v>12.0</v>
      </c>
      <c r="F1094" s="19">
        <v>146.0</v>
      </c>
      <c r="G1094" s="21"/>
      <c r="H1094" s="21"/>
      <c r="I1094" s="21"/>
      <c r="J1094" s="21"/>
      <c r="K1094" s="21"/>
      <c r="L1094" s="21"/>
      <c r="M1094" s="21"/>
      <c r="N1094" s="21"/>
      <c r="O1094" s="21"/>
      <c r="P1094" s="21"/>
      <c r="Q1094" s="21"/>
      <c r="R1094" s="21"/>
      <c r="S1094" s="21"/>
      <c r="T1094" s="19">
        <v>2009.0</v>
      </c>
      <c r="U1094" s="21"/>
      <c r="V1094" s="21"/>
      <c r="W1094" s="21"/>
      <c r="X1094" s="21"/>
      <c r="Y1094" s="21"/>
      <c r="Z1094" s="21"/>
      <c r="AA1094" s="21"/>
      <c r="AB1094" s="21"/>
      <c r="AC1094" s="21"/>
      <c r="AD1094" s="21"/>
      <c r="AE1094" s="21"/>
      <c r="AF1094" s="21"/>
      <c r="AG1094" s="21"/>
      <c r="AH1094" s="21"/>
      <c r="AI1094" s="21"/>
      <c r="AJ1094" s="21"/>
      <c r="AK1094" s="21"/>
      <c r="AL1094" s="21"/>
      <c r="AM1094" s="21"/>
      <c r="AN1094" s="21"/>
      <c r="AO1094" s="21"/>
      <c r="AP1094" s="21"/>
      <c r="AQ1094" s="21"/>
      <c r="AR1094" s="21"/>
      <c r="AS1094" s="21"/>
      <c r="AT1094" s="21"/>
      <c r="AU1094" s="21"/>
      <c r="AV1094" s="21"/>
      <c r="AW1094" s="21"/>
      <c r="AX1094" s="21"/>
      <c r="AY1094" s="21"/>
      <c r="AZ1094" s="21"/>
      <c r="BA1094" s="21"/>
      <c r="BB1094" s="21"/>
      <c r="BC1094" s="21"/>
      <c r="BD1094" s="21"/>
      <c r="BE1094" s="21"/>
      <c r="BF1094" s="21"/>
      <c r="BG1094" s="21"/>
      <c r="BH1094" s="21"/>
      <c r="BI1094" s="21"/>
      <c r="BJ1094" s="21"/>
      <c r="BK1094" s="10"/>
    </row>
    <row r="1095">
      <c r="A1095" s="52"/>
      <c r="B1095" s="53"/>
      <c r="C1095" s="53"/>
      <c r="D1095" s="54"/>
      <c r="E1095" s="18">
        <v>13.0</v>
      </c>
      <c r="F1095" s="19">
        <v>160.0</v>
      </c>
      <c r="G1095" s="22"/>
      <c r="H1095" s="22"/>
      <c r="I1095" s="22"/>
      <c r="J1095" s="22"/>
      <c r="K1095" s="22"/>
      <c r="L1095" s="22"/>
      <c r="M1095" s="22"/>
      <c r="N1095" s="22"/>
      <c r="O1095" s="22"/>
      <c r="P1095" s="22"/>
      <c r="Q1095" s="22"/>
      <c r="R1095" s="22"/>
      <c r="S1095" s="22"/>
      <c r="T1095" s="19">
        <v>2209.0</v>
      </c>
      <c r="U1095" s="22"/>
      <c r="V1095" s="22"/>
      <c r="W1095" s="22"/>
      <c r="X1095" s="22"/>
      <c r="Y1095" s="22"/>
      <c r="Z1095" s="22"/>
      <c r="AA1095" s="22"/>
      <c r="AB1095" s="22"/>
      <c r="AC1095" s="22"/>
      <c r="AD1095" s="22"/>
      <c r="AE1095" s="22"/>
      <c r="AF1095" s="22"/>
      <c r="AG1095" s="22"/>
      <c r="AH1095" s="22"/>
      <c r="AI1095" s="22"/>
      <c r="AJ1095" s="22"/>
      <c r="AK1095" s="22"/>
      <c r="AL1095" s="22"/>
      <c r="AM1095" s="22"/>
      <c r="AN1095" s="22"/>
      <c r="AO1095" s="22"/>
      <c r="AP1095" s="22"/>
      <c r="AQ1095" s="22"/>
      <c r="AR1095" s="22"/>
      <c r="AS1095" s="22"/>
      <c r="AT1095" s="22"/>
      <c r="AU1095" s="22"/>
      <c r="AV1095" s="22"/>
      <c r="AW1095" s="22"/>
      <c r="AX1095" s="22"/>
      <c r="AY1095" s="22"/>
      <c r="AZ1095" s="22"/>
      <c r="BA1095" s="22"/>
      <c r="BB1095" s="22"/>
      <c r="BC1095" s="22"/>
      <c r="BD1095" s="22"/>
      <c r="BE1095" s="22"/>
      <c r="BF1095" s="22"/>
      <c r="BG1095" s="22"/>
      <c r="BH1095" s="22"/>
      <c r="BI1095" s="22"/>
      <c r="BJ1095" s="22"/>
      <c r="BK1095" s="10"/>
    </row>
    <row r="1096">
      <c r="A1096" s="47" t="s">
        <v>318</v>
      </c>
      <c r="B1096" s="48"/>
      <c r="C1096" s="48"/>
      <c r="D1096" s="49"/>
      <c r="E1096" s="18">
        <v>1.0</v>
      </c>
      <c r="F1096" s="18">
        <v>52.0</v>
      </c>
      <c r="G1096" s="16" t="s">
        <v>85</v>
      </c>
      <c r="H1096" s="36" t="s">
        <v>85</v>
      </c>
      <c r="I1096" s="36" t="s">
        <v>85</v>
      </c>
      <c r="J1096" s="36" t="s">
        <v>85</v>
      </c>
      <c r="K1096" s="36" t="s">
        <v>85</v>
      </c>
      <c r="L1096" s="16" t="s">
        <v>85</v>
      </c>
      <c r="M1096" s="36" t="s">
        <v>85</v>
      </c>
      <c r="N1096" s="16" t="s">
        <v>85</v>
      </c>
      <c r="O1096" s="16" t="s">
        <v>85</v>
      </c>
      <c r="P1096" s="16" t="s">
        <v>85</v>
      </c>
      <c r="Q1096" s="16" t="s">
        <v>85</v>
      </c>
      <c r="R1096" s="16" t="s">
        <v>85</v>
      </c>
      <c r="S1096" s="16" t="s">
        <v>85</v>
      </c>
      <c r="T1096" s="18">
        <v>102.0</v>
      </c>
      <c r="U1096" s="16" t="s">
        <v>85</v>
      </c>
      <c r="V1096" s="36" t="s">
        <v>85</v>
      </c>
      <c r="W1096" s="16" t="s">
        <v>85</v>
      </c>
      <c r="X1096" s="16" t="s">
        <v>85</v>
      </c>
      <c r="Y1096" s="36" t="s">
        <v>85</v>
      </c>
      <c r="Z1096" s="36" t="s">
        <v>85</v>
      </c>
      <c r="AA1096" s="36" t="s">
        <v>85</v>
      </c>
      <c r="AB1096" s="16" t="s">
        <v>85</v>
      </c>
      <c r="AC1096" s="16" t="s">
        <v>85</v>
      </c>
      <c r="AD1096" s="16" t="s">
        <v>85</v>
      </c>
      <c r="AE1096" s="16" t="s">
        <v>106</v>
      </c>
      <c r="AF1096" s="16" t="s">
        <v>89</v>
      </c>
      <c r="AG1096" s="16" t="s">
        <v>95</v>
      </c>
      <c r="AH1096" s="16" t="s">
        <v>85</v>
      </c>
      <c r="AI1096" s="16">
        <v>5.0</v>
      </c>
      <c r="AJ1096" s="16" t="s">
        <v>85</v>
      </c>
      <c r="AK1096" s="16" t="s">
        <v>85</v>
      </c>
      <c r="AL1096" s="16" t="s">
        <v>85</v>
      </c>
      <c r="AM1096" s="16" t="s">
        <v>85</v>
      </c>
      <c r="AN1096" s="16" t="s">
        <v>85</v>
      </c>
      <c r="AO1096" s="16" t="s">
        <v>85</v>
      </c>
      <c r="AP1096" s="16" t="s">
        <v>85</v>
      </c>
      <c r="AQ1096" s="16" t="s">
        <v>85</v>
      </c>
      <c r="AR1096" s="16" t="s">
        <v>85</v>
      </c>
      <c r="AS1096" s="16" t="s">
        <v>85</v>
      </c>
      <c r="AT1096" s="16" t="s">
        <v>85</v>
      </c>
      <c r="AU1096" s="16" t="s">
        <v>85</v>
      </c>
      <c r="AV1096" s="16" t="s">
        <v>85</v>
      </c>
      <c r="AW1096" s="16" t="s">
        <v>85</v>
      </c>
      <c r="AX1096" s="16" t="s">
        <v>85</v>
      </c>
      <c r="AY1096" s="16" t="s">
        <v>85</v>
      </c>
      <c r="AZ1096" s="16" t="s">
        <v>85</v>
      </c>
      <c r="BA1096" s="16" t="s">
        <v>85</v>
      </c>
      <c r="BB1096" s="16" t="s">
        <v>85</v>
      </c>
      <c r="BC1096" s="16" t="s">
        <v>85</v>
      </c>
      <c r="BD1096" s="16" t="s">
        <v>85</v>
      </c>
      <c r="BE1096" s="16" t="s">
        <v>85</v>
      </c>
      <c r="BF1096" s="16" t="s">
        <v>85</v>
      </c>
      <c r="BG1096" s="16" t="s">
        <v>85</v>
      </c>
      <c r="BH1096" s="16" t="s">
        <v>85</v>
      </c>
      <c r="BI1096" s="16" t="s">
        <v>85</v>
      </c>
      <c r="BJ1096" s="16" t="s">
        <v>85</v>
      </c>
      <c r="BK1096" s="10"/>
    </row>
    <row r="1097">
      <c r="A1097" s="50"/>
      <c r="D1097" s="51"/>
      <c r="E1097" s="18">
        <v>2.0</v>
      </c>
      <c r="F1097" s="19">
        <v>57.0</v>
      </c>
      <c r="G1097" s="21"/>
      <c r="H1097" s="21"/>
      <c r="I1097" s="21"/>
      <c r="J1097" s="21"/>
      <c r="K1097" s="21"/>
      <c r="L1097" s="21"/>
      <c r="M1097" s="21"/>
      <c r="N1097" s="21"/>
      <c r="O1097" s="21"/>
      <c r="P1097" s="21"/>
      <c r="Q1097" s="21"/>
      <c r="R1097" s="21"/>
      <c r="S1097" s="21"/>
      <c r="T1097" s="19">
        <v>112.0</v>
      </c>
      <c r="U1097" s="21"/>
      <c r="V1097" s="21"/>
      <c r="W1097" s="21"/>
      <c r="X1097" s="21"/>
      <c r="Y1097" s="21"/>
      <c r="Z1097" s="21"/>
      <c r="AA1097" s="21"/>
      <c r="AB1097" s="21"/>
      <c r="AC1097" s="21"/>
      <c r="AD1097" s="21"/>
      <c r="AE1097" s="21"/>
      <c r="AF1097" s="21"/>
      <c r="AG1097" s="21"/>
      <c r="AH1097" s="21"/>
      <c r="AI1097" s="21"/>
      <c r="AJ1097" s="21"/>
      <c r="AK1097" s="21"/>
      <c r="AL1097" s="21"/>
      <c r="AM1097" s="21"/>
      <c r="AN1097" s="21"/>
      <c r="AO1097" s="21"/>
      <c r="AP1097" s="21"/>
      <c r="AQ1097" s="21"/>
      <c r="AR1097" s="21"/>
      <c r="AS1097" s="21"/>
      <c r="AT1097" s="21"/>
      <c r="AU1097" s="21"/>
      <c r="AV1097" s="21"/>
      <c r="AW1097" s="21"/>
      <c r="AX1097" s="21"/>
      <c r="AY1097" s="21"/>
      <c r="AZ1097" s="21"/>
      <c r="BA1097" s="21"/>
      <c r="BB1097" s="21"/>
      <c r="BC1097" s="21"/>
      <c r="BD1097" s="21"/>
      <c r="BE1097" s="21"/>
      <c r="BF1097" s="21"/>
      <c r="BG1097" s="21"/>
      <c r="BH1097" s="21"/>
      <c r="BI1097" s="21"/>
      <c r="BJ1097" s="21"/>
      <c r="BK1097" s="10"/>
    </row>
    <row r="1098">
      <c r="A1098" s="50"/>
      <c r="D1098" s="51"/>
      <c r="E1098" s="18">
        <v>3.0</v>
      </c>
      <c r="F1098" s="19">
        <v>62.0</v>
      </c>
      <c r="G1098" s="21"/>
      <c r="H1098" s="21"/>
      <c r="I1098" s="21"/>
      <c r="J1098" s="21"/>
      <c r="K1098" s="21"/>
      <c r="L1098" s="21"/>
      <c r="M1098" s="21"/>
      <c r="N1098" s="21"/>
      <c r="O1098" s="21"/>
      <c r="P1098" s="21"/>
      <c r="Q1098" s="21"/>
      <c r="R1098" s="21"/>
      <c r="S1098" s="21"/>
      <c r="T1098" s="19">
        <v>123.0</v>
      </c>
      <c r="U1098" s="21"/>
      <c r="V1098" s="21"/>
      <c r="W1098" s="21"/>
      <c r="X1098" s="21"/>
      <c r="Y1098" s="21"/>
      <c r="Z1098" s="21"/>
      <c r="AA1098" s="21"/>
      <c r="AB1098" s="21"/>
      <c r="AC1098" s="21"/>
      <c r="AD1098" s="21"/>
      <c r="AE1098" s="21"/>
      <c r="AF1098" s="21"/>
      <c r="AG1098" s="21"/>
      <c r="AH1098" s="21"/>
      <c r="AI1098" s="21"/>
      <c r="AJ1098" s="21"/>
      <c r="AK1098" s="21"/>
      <c r="AL1098" s="21"/>
      <c r="AM1098" s="21"/>
      <c r="AN1098" s="21"/>
      <c r="AO1098" s="21"/>
      <c r="AP1098" s="21"/>
      <c r="AQ1098" s="21"/>
      <c r="AR1098" s="21"/>
      <c r="AS1098" s="21"/>
      <c r="AT1098" s="21"/>
      <c r="AU1098" s="21"/>
      <c r="AV1098" s="21"/>
      <c r="AW1098" s="21"/>
      <c r="AX1098" s="21"/>
      <c r="AY1098" s="21"/>
      <c r="AZ1098" s="21"/>
      <c r="BA1098" s="21"/>
      <c r="BB1098" s="21"/>
      <c r="BC1098" s="21"/>
      <c r="BD1098" s="21"/>
      <c r="BE1098" s="21"/>
      <c r="BF1098" s="21"/>
      <c r="BG1098" s="21"/>
      <c r="BH1098" s="21"/>
      <c r="BI1098" s="21"/>
      <c r="BJ1098" s="21"/>
      <c r="BK1098" s="10"/>
    </row>
    <row r="1099">
      <c r="A1099" s="50"/>
      <c r="D1099" s="51"/>
      <c r="E1099" s="18">
        <v>4.0</v>
      </c>
      <c r="F1099" s="19">
        <v>69.0</v>
      </c>
      <c r="G1099" s="21"/>
      <c r="H1099" s="21"/>
      <c r="I1099" s="21"/>
      <c r="J1099" s="21"/>
      <c r="K1099" s="21"/>
      <c r="L1099" s="21"/>
      <c r="M1099" s="21"/>
      <c r="N1099" s="21"/>
      <c r="O1099" s="21"/>
      <c r="P1099" s="21"/>
      <c r="Q1099" s="21"/>
      <c r="R1099" s="21"/>
      <c r="S1099" s="21"/>
      <c r="T1099" s="19">
        <v>135.0</v>
      </c>
      <c r="U1099" s="21"/>
      <c r="V1099" s="21"/>
      <c r="W1099" s="21"/>
      <c r="X1099" s="21"/>
      <c r="Y1099" s="21"/>
      <c r="Z1099" s="21"/>
      <c r="AA1099" s="21"/>
      <c r="AB1099" s="21"/>
      <c r="AC1099" s="21"/>
      <c r="AD1099" s="21"/>
      <c r="AE1099" s="21"/>
      <c r="AF1099" s="21"/>
      <c r="AG1099" s="21"/>
      <c r="AH1099" s="21"/>
      <c r="AI1099" s="21"/>
      <c r="AJ1099" s="21"/>
      <c r="AK1099" s="21"/>
      <c r="AL1099" s="21"/>
      <c r="AM1099" s="21"/>
      <c r="AN1099" s="21"/>
      <c r="AO1099" s="21"/>
      <c r="AP1099" s="21"/>
      <c r="AQ1099" s="21"/>
      <c r="AR1099" s="21"/>
      <c r="AS1099" s="21"/>
      <c r="AT1099" s="21"/>
      <c r="AU1099" s="21"/>
      <c r="AV1099" s="21"/>
      <c r="AW1099" s="21"/>
      <c r="AX1099" s="21"/>
      <c r="AY1099" s="21"/>
      <c r="AZ1099" s="21"/>
      <c r="BA1099" s="21"/>
      <c r="BB1099" s="21"/>
      <c r="BC1099" s="21"/>
      <c r="BD1099" s="21"/>
      <c r="BE1099" s="21"/>
      <c r="BF1099" s="21"/>
      <c r="BG1099" s="21"/>
      <c r="BH1099" s="21"/>
      <c r="BI1099" s="21"/>
      <c r="BJ1099" s="21"/>
      <c r="BK1099" s="10"/>
    </row>
    <row r="1100">
      <c r="A1100" s="50"/>
      <c r="D1100" s="51"/>
      <c r="E1100" s="18">
        <v>5.0</v>
      </c>
      <c r="F1100" s="19">
        <v>75.0</v>
      </c>
      <c r="G1100" s="21"/>
      <c r="H1100" s="21"/>
      <c r="I1100" s="21"/>
      <c r="J1100" s="21"/>
      <c r="K1100" s="21"/>
      <c r="L1100" s="21"/>
      <c r="M1100" s="21"/>
      <c r="N1100" s="21"/>
      <c r="O1100" s="21"/>
      <c r="P1100" s="21"/>
      <c r="Q1100" s="21"/>
      <c r="R1100" s="21"/>
      <c r="S1100" s="21"/>
      <c r="T1100" s="19">
        <v>148.0</v>
      </c>
      <c r="U1100" s="21"/>
      <c r="V1100" s="21"/>
      <c r="W1100" s="21"/>
      <c r="X1100" s="21"/>
      <c r="Y1100" s="21"/>
      <c r="Z1100" s="21"/>
      <c r="AA1100" s="21"/>
      <c r="AB1100" s="21"/>
      <c r="AC1100" s="21"/>
      <c r="AD1100" s="21"/>
      <c r="AE1100" s="21"/>
      <c r="AF1100" s="21"/>
      <c r="AG1100" s="21"/>
      <c r="AH1100" s="21"/>
      <c r="AI1100" s="21"/>
      <c r="AJ1100" s="21"/>
      <c r="AK1100" s="21"/>
      <c r="AL1100" s="21"/>
      <c r="AM1100" s="21"/>
      <c r="AN1100" s="21"/>
      <c r="AO1100" s="21"/>
      <c r="AP1100" s="21"/>
      <c r="AQ1100" s="21"/>
      <c r="AR1100" s="21"/>
      <c r="AS1100" s="21"/>
      <c r="AT1100" s="21"/>
      <c r="AU1100" s="21"/>
      <c r="AV1100" s="21"/>
      <c r="AW1100" s="21"/>
      <c r="AX1100" s="21"/>
      <c r="AY1100" s="21"/>
      <c r="AZ1100" s="21"/>
      <c r="BA1100" s="21"/>
      <c r="BB1100" s="21"/>
      <c r="BC1100" s="21"/>
      <c r="BD1100" s="21"/>
      <c r="BE1100" s="21"/>
      <c r="BF1100" s="21"/>
      <c r="BG1100" s="21"/>
      <c r="BH1100" s="21"/>
      <c r="BI1100" s="21"/>
      <c r="BJ1100" s="21"/>
      <c r="BK1100" s="10"/>
    </row>
    <row r="1101">
      <c r="A1101" s="50"/>
      <c r="D1101" s="51"/>
      <c r="E1101" s="18">
        <v>6.0</v>
      </c>
      <c r="F1101" s="19">
        <v>83.0</v>
      </c>
      <c r="G1101" s="21"/>
      <c r="H1101" s="21"/>
      <c r="I1101" s="21"/>
      <c r="J1101" s="21"/>
      <c r="K1101" s="21"/>
      <c r="L1101" s="21"/>
      <c r="M1101" s="21"/>
      <c r="N1101" s="21"/>
      <c r="O1101" s="21"/>
      <c r="P1101" s="21"/>
      <c r="Q1101" s="21"/>
      <c r="R1101" s="21"/>
      <c r="S1101" s="21"/>
      <c r="T1101" s="19">
        <v>163.0</v>
      </c>
      <c r="U1101" s="21"/>
      <c r="V1101" s="21"/>
      <c r="W1101" s="21"/>
      <c r="X1101" s="21"/>
      <c r="Y1101" s="21"/>
      <c r="Z1101" s="21"/>
      <c r="AA1101" s="21"/>
      <c r="AB1101" s="21"/>
      <c r="AC1101" s="21"/>
      <c r="AD1101" s="21"/>
      <c r="AE1101" s="21"/>
      <c r="AF1101" s="21"/>
      <c r="AG1101" s="21"/>
      <c r="AH1101" s="21"/>
      <c r="AI1101" s="21"/>
      <c r="AJ1101" s="21"/>
      <c r="AK1101" s="21"/>
      <c r="AL1101" s="21"/>
      <c r="AM1101" s="21"/>
      <c r="AN1101" s="21"/>
      <c r="AO1101" s="21"/>
      <c r="AP1101" s="21"/>
      <c r="AQ1101" s="21"/>
      <c r="AR1101" s="21"/>
      <c r="AS1101" s="21"/>
      <c r="AT1101" s="21"/>
      <c r="AU1101" s="21"/>
      <c r="AV1101" s="21"/>
      <c r="AW1101" s="21"/>
      <c r="AX1101" s="21"/>
      <c r="AY1101" s="21"/>
      <c r="AZ1101" s="21"/>
      <c r="BA1101" s="21"/>
      <c r="BB1101" s="21"/>
      <c r="BC1101" s="21"/>
      <c r="BD1101" s="21"/>
      <c r="BE1101" s="21"/>
      <c r="BF1101" s="21"/>
      <c r="BG1101" s="21"/>
      <c r="BH1101" s="21"/>
      <c r="BI1101" s="21"/>
      <c r="BJ1101" s="21"/>
      <c r="BK1101" s="10"/>
    </row>
    <row r="1102">
      <c r="A1102" s="50"/>
      <c r="D1102" s="51"/>
      <c r="E1102" s="18">
        <v>7.0</v>
      </c>
      <c r="F1102" s="19">
        <v>91.0</v>
      </c>
      <c r="G1102" s="21"/>
      <c r="H1102" s="21"/>
      <c r="I1102" s="21"/>
      <c r="J1102" s="21"/>
      <c r="K1102" s="21"/>
      <c r="L1102" s="21"/>
      <c r="M1102" s="21"/>
      <c r="N1102" s="21"/>
      <c r="O1102" s="21"/>
      <c r="P1102" s="21"/>
      <c r="Q1102" s="21"/>
      <c r="R1102" s="21"/>
      <c r="S1102" s="21"/>
      <c r="T1102" s="19">
        <v>179.0</v>
      </c>
      <c r="U1102" s="21"/>
      <c r="V1102" s="21"/>
      <c r="W1102" s="21"/>
      <c r="X1102" s="21"/>
      <c r="Y1102" s="21"/>
      <c r="Z1102" s="21"/>
      <c r="AA1102" s="21"/>
      <c r="AB1102" s="21"/>
      <c r="AC1102" s="21"/>
      <c r="AD1102" s="21"/>
      <c r="AE1102" s="21"/>
      <c r="AF1102" s="21"/>
      <c r="AG1102" s="21"/>
      <c r="AH1102" s="21"/>
      <c r="AI1102" s="21"/>
      <c r="AJ1102" s="21"/>
      <c r="AK1102" s="21"/>
      <c r="AL1102" s="21"/>
      <c r="AM1102" s="21"/>
      <c r="AN1102" s="21"/>
      <c r="AO1102" s="21"/>
      <c r="AP1102" s="21"/>
      <c r="AQ1102" s="21"/>
      <c r="AR1102" s="21"/>
      <c r="AS1102" s="21"/>
      <c r="AT1102" s="21"/>
      <c r="AU1102" s="21"/>
      <c r="AV1102" s="21"/>
      <c r="AW1102" s="21"/>
      <c r="AX1102" s="21"/>
      <c r="AY1102" s="21"/>
      <c r="AZ1102" s="21"/>
      <c r="BA1102" s="21"/>
      <c r="BB1102" s="21"/>
      <c r="BC1102" s="21"/>
      <c r="BD1102" s="21"/>
      <c r="BE1102" s="21"/>
      <c r="BF1102" s="21"/>
      <c r="BG1102" s="21"/>
      <c r="BH1102" s="21"/>
      <c r="BI1102" s="21"/>
      <c r="BJ1102" s="21"/>
      <c r="BK1102" s="10"/>
    </row>
    <row r="1103">
      <c r="A1103" s="50"/>
      <c r="D1103" s="51"/>
      <c r="E1103" s="18">
        <v>8.0</v>
      </c>
      <c r="F1103" s="19">
        <v>100.0</v>
      </c>
      <c r="G1103" s="21"/>
      <c r="H1103" s="21"/>
      <c r="I1103" s="21"/>
      <c r="J1103" s="21"/>
      <c r="K1103" s="21"/>
      <c r="L1103" s="21"/>
      <c r="M1103" s="21"/>
      <c r="N1103" s="21"/>
      <c r="O1103" s="21"/>
      <c r="P1103" s="21"/>
      <c r="Q1103" s="21"/>
      <c r="R1103" s="21"/>
      <c r="S1103" s="21"/>
      <c r="T1103" s="19">
        <v>196.0</v>
      </c>
      <c r="U1103" s="21"/>
      <c r="V1103" s="21"/>
      <c r="W1103" s="21"/>
      <c r="X1103" s="21"/>
      <c r="Y1103" s="21"/>
      <c r="Z1103" s="21"/>
      <c r="AA1103" s="21"/>
      <c r="AB1103" s="21"/>
      <c r="AC1103" s="21"/>
      <c r="AD1103" s="21"/>
      <c r="AE1103" s="21"/>
      <c r="AF1103" s="21"/>
      <c r="AG1103" s="21"/>
      <c r="AH1103" s="21"/>
      <c r="AI1103" s="21"/>
      <c r="AJ1103" s="21"/>
      <c r="AK1103" s="21"/>
      <c r="AL1103" s="21"/>
      <c r="AM1103" s="21"/>
      <c r="AN1103" s="21"/>
      <c r="AO1103" s="21"/>
      <c r="AP1103" s="21"/>
      <c r="AQ1103" s="21"/>
      <c r="AR1103" s="21"/>
      <c r="AS1103" s="21"/>
      <c r="AT1103" s="21"/>
      <c r="AU1103" s="21"/>
      <c r="AV1103" s="21"/>
      <c r="AW1103" s="21"/>
      <c r="AX1103" s="21"/>
      <c r="AY1103" s="21"/>
      <c r="AZ1103" s="21"/>
      <c r="BA1103" s="21"/>
      <c r="BB1103" s="21"/>
      <c r="BC1103" s="21"/>
      <c r="BD1103" s="21"/>
      <c r="BE1103" s="21"/>
      <c r="BF1103" s="21"/>
      <c r="BG1103" s="21"/>
      <c r="BH1103" s="21"/>
      <c r="BI1103" s="21"/>
      <c r="BJ1103" s="21"/>
      <c r="BK1103" s="10"/>
    </row>
    <row r="1104">
      <c r="A1104" s="50"/>
      <c r="D1104" s="51"/>
      <c r="E1104" s="18">
        <v>9.0</v>
      </c>
      <c r="F1104" s="19">
        <v>110.0</v>
      </c>
      <c r="G1104" s="21"/>
      <c r="H1104" s="21"/>
      <c r="I1104" s="21"/>
      <c r="J1104" s="21"/>
      <c r="K1104" s="21"/>
      <c r="L1104" s="21"/>
      <c r="M1104" s="21"/>
      <c r="N1104" s="21"/>
      <c r="O1104" s="21"/>
      <c r="P1104" s="21"/>
      <c r="Q1104" s="21"/>
      <c r="R1104" s="21"/>
      <c r="S1104" s="21"/>
      <c r="T1104" s="19">
        <v>216.0</v>
      </c>
      <c r="U1104" s="21"/>
      <c r="V1104" s="21"/>
      <c r="W1104" s="21"/>
      <c r="X1104" s="21"/>
      <c r="Y1104" s="21"/>
      <c r="Z1104" s="21"/>
      <c r="AA1104" s="21"/>
      <c r="AB1104" s="21"/>
      <c r="AC1104" s="21"/>
      <c r="AD1104" s="21"/>
      <c r="AE1104" s="21"/>
      <c r="AF1104" s="21"/>
      <c r="AG1104" s="21"/>
      <c r="AH1104" s="21"/>
      <c r="AI1104" s="21"/>
      <c r="AJ1104" s="21"/>
      <c r="AK1104" s="21"/>
      <c r="AL1104" s="21"/>
      <c r="AM1104" s="21"/>
      <c r="AN1104" s="21"/>
      <c r="AO1104" s="21"/>
      <c r="AP1104" s="21"/>
      <c r="AQ1104" s="21"/>
      <c r="AR1104" s="21"/>
      <c r="AS1104" s="21"/>
      <c r="AT1104" s="21"/>
      <c r="AU1104" s="21"/>
      <c r="AV1104" s="21"/>
      <c r="AW1104" s="21"/>
      <c r="AX1104" s="21"/>
      <c r="AY1104" s="21"/>
      <c r="AZ1104" s="21"/>
      <c r="BA1104" s="21"/>
      <c r="BB1104" s="21"/>
      <c r="BC1104" s="21"/>
      <c r="BD1104" s="21"/>
      <c r="BE1104" s="21"/>
      <c r="BF1104" s="21"/>
      <c r="BG1104" s="21"/>
      <c r="BH1104" s="21"/>
      <c r="BI1104" s="21"/>
      <c r="BJ1104" s="21"/>
      <c r="BK1104" s="10"/>
    </row>
    <row r="1105">
      <c r="A1105" s="50"/>
      <c r="D1105" s="51"/>
      <c r="E1105" s="18">
        <v>10.0</v>
      </c>
      <c r="F1105" s="19">
        <v>121.0</v>
      </c>
      <c r="G1105" s="21"/>
      <c r="H1105" s="21"/>
      <c r="I1105" s="21"/>
      <c r="J1105" s="21"/>
      <c r="K1105" s="21"/>
      <c r="L1105" s="21"/>
      <c r="M1105" s="21"/>
      <c r="N1105" s="21"/>
      <c r="O1105" s="21"/>
      <c r="P1105" s="21"/>
      <c r="Q1105" s="21"/>
      <c r="R1105" s="21"/>
      <c r="S1105" s="21"/>
      <c r="T1105" s="19">
        <v>237.0</v>
      </c>
      <c r="U1105" s="21"/>
      <c r="V1105" s="21"/>
      <c r="W1105" s="21"/>
      <c r="X1105" s="21"/>
      <c r="Y1105" s="21"/>
      <c r="Z1105" s="21"/>
      <c r="AA1105" s="21"/>
      <c r="AB1105" s="21"/>
      <c r="AC1105" s="21"/>
      <c r="AD1105" s="21"/>
      <c r="AE1105" s="21"/>
      <c r="AF1105" s="21"/>
      <c r="AG1105" s="21"/>
      <c r="AH1105" s="21"/>
      <c r="AI1105" s="21"/>
      <c r="AJ1105" s="21"/>
      <c r="AK1105" s="21"/>
      <c r="AL1105" s="21"/>
      <c r="AM1105" s="21"/>
      <c r="AN1105" s="21"/>
      <c r="AO1105" s="21"/>
      <c r="AP1105" s="21"/>
      <c r="AQ1105" s="21"/>
      <c r="AR1105" s="21"/>
      <c r="AS1105" s="21"/>
      <c r="AT1105" s="21"/>
      <c r="AU1105" s="21"/>
      <c r="AV1105" s="21"/>
      <c r="AW1105" s="21"/>
      <c r="AX1105" s="21"/>
      <c r="AY1105" s="21"/>
      <c r="AZ1105" s="21"/>
      <c r="BA1105" s="21"/>
      <c r="BB1105" s="21"/>
      <c r="BC1105" s="21"/>
      <c r="BD1105" s="21"/>
      <c r="BE1105" s="21"/>
      <c r="BF1105" s="21"/>
      <c r="BG1105" s="21"/>
      <c r="BH1105" s="21"/>
      <c r="BI1105" s="21"/>
      <c r="BJ1105" s="21"/>
      <c r="BK1105" s="10"/>
    </row>
    <row r="1106">
      <c r="A1106" s="50"/>
      <c r="D1106" s="51"/>
      <c r="E1106" s="18">
        <v>11.0</v>
      </c>
      <c r="F1106" s="19">
        <v>133.0</v>
      </c>
      <c r="G1106" s="21"/>
      <c r="H1106" s="21"/>
      <c r="I1106" s="21"/>
      <c r="J1106" s="21"/>
      <c r="K1106" s="21"/>
      <c r="L1106" s="21"/>
      <c r="M1106" s="21"/>
      <c r="N1106" s="21"/>
      <c r="O1106" s="21"/>
      <c r="P1106" s="21"/>
      <c r="Q1106" s="21"/>
      <c r="R1106" s="21"/>
      <c r="S1106" s="21"/>
      <c r="T1106" s="19">
        <v>261.0</v>
      </c>
      <c r="U1106" s="21"/>
      <c r="V1106" s="21"/>
      <c r="W1106" s="21"/>
      <c r="X1106" s="21"/>
      <c r="Y1106" s="21"/>
      <c r="Z1106" s="21"/>
      <c r="AA1106" s="21"/>
      <c r="AB1106" s="21"/>
      <c r="AC1106" s="21"/>
      <c r="AD1106" s="21"/>
      <c r="AE1106" s="21"/>
      <c r="AF1106" s="21"/>
      <c r="AG1106" s="21"/>
      <c r="AH1106" s="21"/>
      <c r="AI1106" s="21"/>
      <c r="AJ1106" s="21"/>
      <c r="AK1106" s="21"/>
      <c r="AL1106" s="21"/>
      <c r="AM1106" s="21"/>
      <c r="AN1106" s="21"/>
      <c r="AO1106" s="21"/>
      <c r="AP1106" s="21"/>
      <c r="AQ1106" s="21"/>
      <c r="AR1106" s="21"/>
      <c r="AS1106" s="21"/>
      <c r="AT1106" s="21"/>
      <c r="AU1106" s="21"/>
      <c r="AV1106" s="21"/>
      <c r="AW1106" s="21"/>
      <c r="AX1106" s="21"/>
      <c r="AY1106" s="21"/>
      <c r="AZ1106" s="21"/>
      <c r="BA1106" s="21"/>
      <c r="BB1106" s="21"/>
      <c r="BC1106" s="21"/>
      <c r="BD1106" s="21"/>
      <c r="BE1106" s="21"/>
      <c r="BF1106" s="21"/>
      <c r="BG1106" s="21"/>
      <c r="BH1106" s="21"/>
      <c r="BI1106" s="21"/>
      <c r="BJ1106" s="21"/>
      <c r="BK1106" s="10"/>
    </row>
    <row r="1107">
      <c r="A1107" s="50"/>
      <c r="D1107" s="51"/>
      <c r="E1107" s="18">
        <v>12.0</v>
      </c>
      <c r="F1107" s="19">
        <v>146.0</v>
      </c>
      <c r="G1107" s="21"/>
      <c r="H1107" s="21"/>
      <c r="I1107" s="21"/>
      <c r="J1107" s="21"/>
      <c r="K1107" s="21"/>
      <c r="L1107" s="21"/>
      <c r="M1107" s="21"/>
      <c r="N1107" s="21"/>
      <c r="O1107" s="21"/>
      <c r="P1107" s="21"/>
      <c r="Q1107" s="21"/>
      <c r="R1107" s="21"/>
      <c r="S1107" s="21"/>
      <c r="T1107" s="19">
        <v>286.0</v>
      </c>
      <c r="U1107" s="21"/>
      <c r="V1107" s="21"/>
      <c r="W1107" s="21"/>
      <c r="X1107" s="21"/>
      <c r="Y1107" s="21"/>
      <c r="Z1107" s="21"/>
      <c r="AA1107" s="21"/>
      <c r="AB1107" s="21"/>
      <c r="AC1107" s="21"/>
      <c r="AD1107" s="21"/>
      <c r="AE1107" s="21"/>
      <c r="AF1107" s="21"/>
      <c r="AG1107" s="21"/>
      <c r="AH1107" s="21"/>
      <c r="AI1107" s="21"/>
      <c r="AJ1107" s="21"/>
      <c r="AK1107" s="21"/>
      <c r="AL1107" s="21"/>
      <c r="AM1107" s="21"/>
      <c r="AN1107" s="21"/>
      <c r="AO1107" s="21"/>
      <c r="AP1107" s="21"/>
      <c r="AQ1107" s="21"/>
      <c r="AR1107" s="21"/>
      <c r="AS1107" s="21"/>
      <c r="AT1107" s="21"/>
      <c r="AU1107" s="21"/>
      <c r="AV1107" s="21"/>
      <c r="AW1107" s="21"/>
      <c r="AX1107" s="21"/>
      <c r="AY1107" s="21"/>
      <c r="AZ1107" s="21"/>
      <c r="BA1107" s="21"/>
      <c r="BB1107" s="21"/>
      <c r="BC1107" s="21"/>
      <c r="BD1107" s="21"/>
      <c r="BE1107" s="21"/>
      <c r="BF1107" s="21"/>
      <c r="BG1107" s="21"/>
      <c r="BH1107" s="21"/>
      <c r="BI1107" s="21"/>
      <c r="BJ1107" s="21"/>
      <c r="BK1107" s="10"/>
    </row>
    <row r="1108">
      <c r="A1108" s="52"/>
      <c r="B1108" s="53"/>
      <c r="C1108" s="53"/>
      <c r="D1108" s="54"/>
      <c r="E1108" s="18">
        <v>13.0</v>
      </c>
      <c r="F1108" s="19">
        <v>160.0</v>
      </c>
      <c r="G1108" s="22"/>
      <c r="H1108" s="22"/>
      <c r="I1108" s="22"/>
      <c r="J1108" s="22"/>
      <c r="K1108" s="22"/>
      <c r="L1108" s="22"/>
      <c r="M1108" s="22"/>
      <c r="N1108" s="22"/>
      <c r="O1108" s="22"/>
      <c r="P1108" s="22"/>
      <c r="Q1108" s="22"/>
      <c r="R1108" s="22"/>
      <c r="S1108" s="22"/>
      <c r="T1108" s="19">
        <v>315.0</v>
      </c>
      <c r="U1108" s="22"/>
      <c r="V1108" s="22"/>
      <c r="W1108" s="22"/>
      <c r="X1108" s="22"/>
      <c r="Y1108" s="22"/>
      <c r="Z1108" s="22"/>
      <c r="AA1108" s="22"/>
      <c r="AB1108" s="22"/>
      <c r="AC1108" s="22"/>
      <c r="AD1108" s="22"/>
      <c r="AE1108" s="22"/>
      <c r="AF1108" s="22"/>
      <c r="AG1108" s="22"/>
      <c r="AH1108" s="22"/>
      <c r="AI1108" s="22"/>
      <c r="AJ1108" s="22"/>
      <c r="AK1108" s="22"/>
      <c r="AL1108" s="22"/>
      <c r="AM1108" s="22"/>
      <c r="AN1108" s="22"/>
      <c r="AO1108" s="22"/>
      <c r="AP1108" s="22"/>
      <c r="AQ1108" s="22"/>
      <c r="AR1108" s="22"/>
      <c r="AS1108" s="22"/>
      <c r="AT1108" s="22"/>
      <c r="AU1108" s="22"/>
      <c r="AV1108" s="22"/>
      <c r="AW1108" s="22"/>
      <c r="AX1108" s="22"/>
      <c r="AY1108" s="22"/>
      <c r="AZ1108" s="22"/>
      <c r="BA1108" s="22"/>
      <c r="BB1108" s="22"/>
      <c r="BC1108" s="22"/>
      <c r="BD1108" s="22"/>
      <c r="BE1108" s="22"/>
      <c r="BF1108" s="22"/>
      <c r="BG1108" s="22"/>
      <c r="BH1108" s="22"/>
      <c r="BI1108" s="22"/>
      <c r="BJ1108" s="22"/>
      <c r="BK1108" s="10"/>
    </row>
    <row r="1109">
      <c r="A1109" s="47" t="s">
        <v>410</v>
      </c>
      <c r="B1109" s="48"/>
      <c r="C1109" s="48"/>
      <c r="D1109" s="49"/>
      <c r="E1109" s="18">
        <v>3.0</v>
      </c>
      <c r="F1109" s="18">
        <v>60.0</v>
      </c>
      <c r="G1109" s="16" t="s">
        <v>85</v>
      </c>
      <c r="H1109" s="36" t="s">
        <v>85</v>
      </c>
      <c r="I1109" s="36" t="s">
        <v>85</v>
      </c>
      <c r="J1109" s="36" t="s">
        <v>85</v>
      </c>
      <c r="K1109" s="36" t="s">
        <v>85</v>
      </c>
      <c r="L1109" s="16" t="s">
        <v>85</v>
      </c>
      <c r="M1109" s="36" t="s">
        <v>85</v>
      </c>
      <c r="N1109" s="16" t="s">
        <v>85</v>
      </c>
      <c r="O1109" s="16" t="s">
        <v>85</v>
      </c>
      <c r="P1109" s="16" t="s">
        <v>85</v>
      </c>
      <c r="Q1109" s="16" t="s">
        <v>85</v>
      </c>
      <c r="R1109" s="16" t="s">
        <v>85</v>
      </c>
      <c r="S1109" s="16" t="s">
        <v>85</v>
      </c>
      <c r="T1109" s="18">
        <v>340.0</v>
      </c>
      <c r="U1109" s="16" t="s">
        <v>85</v>
      </c>
      <c r="V1109" s="36" t="s">
        <v>85</v>
      </c>
      <c r="W1109" s="16" t="s">
        <v>85</v>
      </c>
      <c r="X1109" s="16" t="s">
        <v>85</v>
      </c>
      <c r="Y1109" s="36" t="s">
        <v>85</v>
      </c>
      <c r="Z1109" s="36" t="s">
        <v>85</v>
      </c>
      <c r="AA1109" s="36" t="s">
        <v>85</v>
      </c>
      <c r="AB1109" s="16" t="s">
        <v>85</v>
      </c>
      <c r="AC1109" s="16" t="s">
        <v>85</v>
      </c>
      <c r="AD1109" s="16" t="s">
        <v>85</v>
      </c>
      <c r="AE1109" s="16" t="s">
        <v>187</v>
      </c>
      <c r="AF1109" s="16" t="s">
        <v>109</v>
      </c>
      <c r="AG1109" s="16" t="s">
        <v>95</v>
      </c>
      <c r="AH1109" s="16" t="s">
        <v>85</v>
      </c>
      <c r="AI1109" s="16" t="s">
        <v>104</v>
      </c>
      <c r="AJ1109" s="16" t="s">
        <v>85</v>
      </c>
      <c r="AK1109" s="16" t="s">
        <v>85</v>
      </c>
      <c r="AL1109" s="16" t="s">
        <v>85</v>
      </c>
      <c r="AM1109" s="16" t="s">
        <v>85</v>
      </c>
      <c r="AN1109" s="16" t="s">
        <v>85</v>
      </c>
      <c r="AO1109" s="16" t="s">
        <v>85</v>
      </c>
      <c r="AP1109" s="16" t="s">
        <v>85</v>
      </c>
      <c r="AQ1109" s="16" t="s">
        <v>85</v>
      </c>
      <c r="AR1109" s="16" t="s">
        <v>85</v>
      </c>
      <c r="AS1109" s="16" t="s">
        <v>85</v>
      </c>
      <c r="AT1109" s="16" t="s">
        <v>85</v>
      </c>
      <c r="AU1109" s="16" t="s">
        <v>85</v>
      </c>
      <c r="AV1109" s="16" t="s">
        <v>85</v>
      </c>
      <c r="AW1109" s="16" t="s">
        <v>85</v>
      </c>
      <c r="AX1109" s="16" t="s">
        <v>85</v>
      </c>
      <c r="AY1109" s="16" t="s">
        <v>85</v>
      </c>
      <c r="AZ1109" s="16" t="s">
        <v>85</v>
      </c>
      <c r="BA1109" s="16" t="s">
        <v>85</v>
      </c>
      <c r="BB1109" s="16" t="s">
        <v>85</v>
      </c>
      <c r="BC1109" s="16" t="s">
        <v>85</v>
      </c>
      <c r="BD1109" s="16" t="s">
        <v>85</v>
      </c>
      <c r="BE1109" s="16" t="s">
        <v>85</v>
      </c>
      <c r="BF1109" s="16" t="s">
        <v>85</v>
      </c>
      <c r="BG1109" s="16" t="s">
        <v>85</v>
      </c>
      <c r="BH1109" s="16" t="s">
        <v>85</v>
      </c>
      <c r="BI1109" s="16" t="s">
        <v>85</v>
      </c>
      <c r="BJ1109" s="16" t="s">
        <v>85</v>
      </c>
      <c r="BK1109" s="10"/>
    </row>
    <row r="1110">
      <c r="A1110" s="50"/>
      <c r="D1110" s="51"/>
      <c r="E1110" s="18">
        <v>4.0</v>
      </c>
      <c r="F1110" s="19">
        <v>66.0</v>
      </c>
      <c r="G1110" s="21"/>
      <c r="H1110" s="21"/>
      <c r="I1110" s="21"/>
      <c r="J1110" s="21"/>
      <c r="K1110" s="21"/>
      <c r="L1110" s="21"/>
      <c r="M1110" s="21"/>
      <c r="N1110" s="21"/>
      <c r="O1110" s="21"/>
      <c r="P1110" s="21"/>
      <c r="Q1110" s="21"/>
      <c r="R1110" s="21"/>
      <c r="S1110" s="21"/>
      <c r="T1110" s="19">
        <v>374.0</v>
      </c>
      <c r="U1110" s="21"/>
      <c r="V1110" s="21"/>
      <c r="W1110" s="21"/>
      <c r="X1110" s="21"/>
      <c r="Y1110" s="21"/>
      <c r="Z1110" s="21"/>
      <c r="AA1110" s="21"/>
      <c r="AB1110" s="21"/>
      <c r="AC1110" s="21"/>
      <c r="AD1110" s="21"/>
      <c r="AE1110" s="21"/>
      <c r="AF1110" s="21"/>
      <c r="AG1110" s="21"/>
      <c r="AH1110" s="21"/>
      <c r="AI1110" s="21"/>
      <c r="AJ1110" s="21"/>
      <c r="AK1110" s="21"/>
      <c r="AL1110" s="21"/>
      <c r="AM1110" s="21"/>
      <c r="AN1110" s="21"/>
      <c r="AO1110" s="21"/>
      <c r="AP1110" s="21"/>
      <c r="AQ1110" s="21"/>
      <c r="AR1110" s="21"/>
      <c r="AS1110" s="21"/>
      <c r="AT1110" s="21"/>
      <c r="AU1110" s="21"/>
      <c r="AV1110" s="21"/>
      <c r="AW1110" s="21"/>
      <c r="AX1110" s="21"/>
      <c r="AY1110" s="21"/>
      <c r="AZ1110" s="21"/>
      <c r="BA1110" s="21"/>
      <c r="BB1110" s="21"/>
      <c r="BC1110" s="21"/>
      <c r="BD1110" s="21"/>
      <c r="BE1110" s="21"/>
      <c r="BF1110" s="21"/>
      <c r="BG1110" s="21"/>
      <c r="BH1110" s="21"/>
      <c r="BI1110" s="21"/>
      <c r="BJ1110" s="21"/>
      <c r="BK1110" s="10"/>
    </row>
    <row r="1111">
      <c r="A1111" s="50"/>
      <c r="D1111" s="51"/>
      <c r="E1111" s="18">
        <v>5.0</v>
      </c>
      <c r="F1111" s="19">
        <v>72.0</v>
      </c>
      <c r="G1111" s="21"/>
      <c r="H1111" s="21"/>
      <c r="I1111" s="21"/>
      <c r="J1111" s="21"/>
      <c r="K1111" s="21"/>
      <c r="L1111" s="21"/>
      <c r="M1111" s="21"/>
      <c r="N1111" s="21"/>
      <c r="O1111" s="21"/>
      <c r="P1111" s="21"/>
      <c r="Q1111" s="21"/>
      <c r="R1111" s="21"/>
      <c r="S1111" s="21"/>
      <c r="T1111" s="19">
        <v>411.0</v>
      </c>
      <c r="U1111" s="21"/>
      <c r="V1111" s="21"/>
      <c r="W1111" s="21"/>
      <c r="X1111" s="21"/>
      <c r="Y1111" s="21"/>
      <c r="Z1111" s="21"/>
      <c r="AA1111" s="21"/>
      <c r="AB1111" s="21"/>
      <c r="AC1111" s="21"/>
      <c r="AD1111" s="21"/>
      <c r="AE1111" s="21"/>
      <c r="AF1111" s="21"/>
      <c r="AG1111" s="21"/>
      <c r="AH1111" s="21"/>
      <c r="AI1111" s="21"/>
      <c r="AJ1111" s="21"/>
      <c r="AK1111" s="21"/>
      <c r="AL1111" s="21"/>
      <c r="AM1111" s="21"/>
      <c r="AN1111" s="21"/>
      <c r="AO1111" s="21"/>
      <c r="AP1111" s="21"/>
      <c r="AQ1111" s="21"/>
      <c r="AR1111" s="21"/>
      <c r="AS1111" s="21"/>
      <c r="AT1111" s="21"/>
      <c r="AU1111" s="21"/>
      <c r="AV1111" s="21"/>
      <c r="AW1111" s="21"/>
      <c r="AX1111" s="21"/>
      <c r="AY1111" s="21"/>
      <c r="AZ1111" s="21"/>
      <c r="BA1111" s="21"/>
      <c r="BB1111" s="21"/>
      <c r="BC1111" s="21"/>
      <c r="BD1111" s="21"/>
      <c r="BE1111" s="21"/>
      <c r="BF1111" s="21"/>
      <c r="BG1111" s="21"/>
      <c r="BH1111" s="21"/>
      <c r="BI1111" s="21"/>
      <c r="BJ1111" s="21"/>
      <c r="BK1111" s="10"/>
    </row>
    <row r="1112">
      <c r="A1112" s="50"/>
      <c r="D1112" s="51"/>
      <c r="E1112" s="18">
        <v>6.0</v>
      </c>
      <c r="F1112" s="19">
        <v>79.0</v>
      </c>
      <c r="G1112" s="21"/>
      <c r="H1112" s="21"/>
      <c r="I1112" s="21"/>
      <c r="J1112" s="21"/>
      <c r="K1112" s="21"/>
      <c r="L1112" s="21"/>
      <c r="M1112" s="21"/>
      <c r="N1112" s="21"/>
      <c r="O1112" s="21"/>
      <c r="P1112" s="21"/>
      <c r="Q1112" s="21"/>
      <c r="R1112" s="21"/>
      <c r="S1112" s="21"/>
      <c r="T1112" s="19">
        <v>452.0</v>
      </c>
      <c r="U1112" s="21"/>
      <c r="V1112" s="21"/>
      <c r="W1112" s="21"/>
      <c r="X1112" s="21"/>
      <c r="Y1112" s="21"/>
      <c r="Z1112" s="21"/>
      <c r="AA1112" s="21"/>
      <c r="AB1112" s="21"/>
      <c r="AC1112" s="21"/>
      <c r="AD1112" s="21"/>
      <c r="AE1112" s="21"/>
      <c r="AF1112" s="21"/>
      <c r="AG1112" s="21"/>
      <c r="AH1112" s="21"/>
      <c r="AI1112" s="21"/>
      <c r="AJ1112" s="21"/>
      <c r="AK1112" s="21"/>
      <c r="AL1112" s="21"/>
      <c r="AM1112" s="21"/>
      <c r="AN1112" s="21"/>
      <c r="AO1112" s="21"/>
      <c r="AP1112" s="21"/>
      <c r="AQ1112" s="21"/>
      <c r="AR1112" s="21"/>
      <c r="AS1112" s="21"/>
      <c r="AT1112" s="21"/>
      <c r="AU1112" s="21"/>
      <c r="AV1112" s="21"/>
      <c r="AW1112" s="21"/>
      <c r="AX1112" s="21"/>
      <c r="AY1112" s="21"/>
      <c r="AZ1112" s="21"/>
      <c r="BA1112" s="21"/>
      <c r="BB1112" s="21"/>
      <c r="BC1112" s="21"/>
      <c r="BD1112" s="21"/>
      <c r="BE1112" s="21"/>
      <c r="BF1112" s="21"/>
      <c r="BG1112" s="21"/>
      <c r="BH1112" s="21"/>
      <c r="BI1112" s="21"/>
      <c r="BJ1112" s="21"/>
      <c r="BK1112" s="10"/>
    </row>
    <row r="1113">
      <c r="A1113" s="50"/>
      <c r="D1113" s="51"/>
      <c r="E1113" s="18">
        <v>7.0</v>
      </c>
      <c r="F1113" s="19">
        <v>87.0</v>
      </c>
      <c r="G1113" s="21"/>
      <c r="H1113" s="21"/>
      <c r="I1113" s="21"/>
      <c r="J1113" s="21"/>
      <c r="K1113" s="21"/>
      <c r="L1113" s="21"/>
      <c r="M1113" s="21"/>
      <c r="N1113" s="21"/>
      <c r="O1113" s="21"/>
      <c r="P1113" s="21"/>
      <c r="Q1113" s="21"/>
      <c r="R1113" s="21"/>
      <c r="S1113" s="21"/>
      <c r="T1113" s="19">
        <v>496.0</v>
      </c>
      <c r="U1113" s="21"/>
      <c r="V1113" s="21"/>
      <c r="W1113" s="21"/>
      <c r="X1113" s="21"/>
      <c r="Y1113" s="21"/>
      <c r="Z1113" s="21"/>
      <c r="AA1113" s="21"/>
      <c r="AB1113" s="21"/>
      <c r="AC1113" s="21"/>
      <c r="AD1113" s="21"/>
      <c r="AE1113" s="21"/>
      <c r="AF1113" s="21"/>
      <c r="AG1113" s="21"/>
      <c r="AH1113" s="21"/>
      <c r="AI1113" s="21"/>
      <c r="AJ1113" s="21"/>
      <c r="AK1113" s="21"/>
      <c r="AL1113" s="21"/>
      <c r="AM1113" s="21"/>
      <c r="AN1113" s="21"/>
      <c r="AO1113" s="21"/>
      <c r="AP1113" s="21"/>
      <c r="AQ1113" s="21"/>
      <c r="AR1113" s="21"/>
      <c r="AS1113" s="21"/>
      <c r="AT1113" s="21"/>
      <c r="AU1113" s="21"/>
      <c r="AV1113" s="21"/>
      <c r="AW1113" s="21"/>
      <c r="AX1113" s="21"/>
      <c r="AY1113" s="21"/>
      <c r="AZ1113" s="21"/>
      <c r="BA1113" s="21"/>
      <c r="BB1113" s="21"/>
      <c r="BC1113" s="21"/>
      <c r="BD1113" s="21"/>
      <c r="BE1113" s="21"/>
      <c r="BF1113" s="21"/>
      <c r="BG1113" s="21"/>
      <c r="BH1113" s="21"/>
      <c r="BI1113" s="21"/>
      <c r="BJ1113" s="21"/>
      <c r="BK1113" s="10"/>
    </row>
    <row r="1114">
      <c r="A1114" s="50"/>
      <c r="D1114" s="51"/>
      <c r="E1114" s="18">
        <v>8.0</v>
      </c>
      <c r="F1114" s="19">
        <v>96.0</v>
      </c>
      <c r="G1114" s="21"/>
      <c r="H1114" s="21"/>
      <c r="I1114" s="21"/>
      <c r="J1114" s="21"/>
      <c r="K1114" s="21"/>
      <c r="L1114" s="21"/>
      <c r="M1114" s="21"/>
      <c r="N1114" s="21"/>
      <c r="O1114" s="21"/>
      <c r="P1114" s="21"/>
      <c r="Q1114" s="21"/>
      <c r="R1114" s="21"/>
      <c r="S1114" s="21"/>
      <c r="T1114" s="19">
        <v>544.0</v>
      </c>
      <c r="U1114" s="21"/>
      <c r="V1114" s="21"/>
      <c r="W1114" s="21"/>
      <c r="X1114" s="21"/>
      <c r="Y1114" s="21"/>
      <c r="Z1114" s="21"/>
      <c r="AA1114" s="21"/>
      <c r="AB1114" s="21"/>
      <c r="AC1114" s="21"/>
      <c r="AD1114" s="21"/>
      <c r="AE1114" s="21"/>
      <c r="AF1114" s="21"/>
      <c r="AG1114" s="21"/>
      <c r="AH1114" s="21"/>
      <c r="AI1114" s="21"/>
      <c r="AJ1114" s="21"/>
      <c r="AK1114" s="21"/>
      <c r="AL1114" s="21"/>
      <c r="AM1114" s="21"/>
      <c r="AN1114" s="21"/>
      <c r="AO1114" s="21"/>
      <c r="AP1114" s="21"/>
      <c r="AQ1114" s="21"/>
      <c r="AR1114" s="21"/>
      <c r="AS1114" s="21"/>
      <c r="AT1114" s="21"/>
      <c r="AU1114" s="21"/>
      <c r="AV1114" s="21"/>
      <c r="AW1114" s="21"/>
      <c r="AX1114" s="21"/>
      <c r="AY1114" s="21"/>
      <c r="AZ1114" s="21"/>
      <c r="BA1114" s="21"/>
      <c r="BB1114" s="21"/>
      <c r="BC1114" s="21"/>
      <c r="BD1114" s="21"/>
      <c r="BE1114" s="21"/>
      <c r="BF1114" s="21"/>
      <c r="BG1114" s="21"/>
      <c r="BH1114" s="21"/>
      <c r="BI1114" s="21"/>
      <c r="BJ1114" s="21"/>
      <c r="BK1114" s="10"/>
    </row>
    <row r="1115">
      <c r="A1115" s="50"/>
      <c r="D1115" s="51"/>
      <c r="E1115" s="18">
        <v>9.0</v>
      </c>
      <c r="F1115" s="19">
        <v>105.0</v>
      </c>
      <c r="G1115" s="21"/>
      <c r="H1115" s="21"/>
      <c r="I1115" s="21"/>
      <c r="J1115" s="21"/>
      <c r="K1115" s="21"/>
      <c r="L1115" s="21"/>
      <c r="M1115" s="21"/>
      <c r="N1115" s="21"/>
      <c r="O1115" s="21"/>
      <c r="P1115" s="21"/>
      <c r="Q1115" s="21"/>
      <c r="R1115" s="21"/>
      <c r="S1115" s="21"/>
      <c r="T1115" s="19">
        <v>598.0</v>
      </c>
      <c r="U1115" s="21"/>
      <c r="V1115" s="21"/>
      <c r="W1115" s="21"/>
      <c r="X1115" s="21"/>
      <c r="Y1115" s="21"/>
      <c r="Z1115" s="21"/>
      <c r="AA1115" s="21"/>
      <c r="AB1115" s="21"/>
      <c r="AC1115" s="21"/>
      <c r="AD1115" s="21"/>
      <c r="AE1115" s="21"/>
      <c r="AF1115" s="21"/>
      <c r="AG1115" s="21"/>
      <c r="AH1115" s="21"/>
      <c r="AI1115" s="21"/>
      <c r="AJ1115" s="21"/>
      <c r="AK1115" s="21"/>
      <c r="AL1115" s="21"/>
      <c r="AM1115" s="21"/>
      <c r="AN1115" s="21"/>
      <c r="AO1115" s="21"/>
      <c r="AP1115" s="21"/>
      <c r="AQ1115" s="21"/>
      <c r="AR1115" s="21"/>
      <c r="AS1115" s="21"/>
      <c r="AT1115" s="21"/>
      <c r="AU1115" s="21"/>
      <c r="AV1115" s="21"/>
      <c r="AW1115" s="21"/>
      <c r="AX1115" s="21"/>
      <c r="AY1115" s="21"/>
      <c r="AZ1115" s="21"/>
      <c r="BA1115" s="21"/>
      <c r="BB1115" s="21"/>
      <c r="BC1115" s="21"/>
      <c r="BD1115" s="21"/>
      <c r="BE1115" s="21"/>
      <c r="BF1115" s="21"/>
      <c r="BG1115" s="21"/>
      <c r="BH1115" s="21"/>
      <c r="BI1115" s="21"/>
      <c r="BJ1115" s="21"/>
      <c r="BK1115" s="10"/>
    </row>
    <row r="1116">
      <c r="A1116" s="50"/>
      <c r="D1116" s="51"/>
      <c r="E1116" s="18">
        <v>10.0</v>
      </c>
      <c r="F1116" s="19">
        <v>115.0</v>
      </c>
      <c r="G1116" s="21"/>
      <c r="H1116" s="21"/>
      <c r="I1116" s="21"/>
      <c r="J1116" s="21"/>
      <c r="K1116" s="21"/>
      <c r="L1116" s="21"/>
      <c r="M1116" s="21"/>
      <c r="N1116" s="21"/>
      <c r="O1116" s="21"/>
      <c r="P1116" s="21"/>
      <c r="Q1116" s="21"/>
      <c r="R1116" s="21"/>
      <c r="S1116" s="21"/>
      <c r="T1116" s="19">
        <v>656.0</v>
      </c>
      <c r="U1116" s="21"/>
      <c r="V1116" s="21"/>
      <c r="W1116" s="21"/>
      <c r="X1116" s="21"/>
      <c r="Y1116" s="21"/>
      <c r="Z1116" s="21"/>
      <c r="AA1116" s="21"/>
      <c r="AB1116" s="21"/>
      <c r="AC1116" s="21"/>
      <c r="AD1116" s="21"/>
      <c r="AE1116" s="21"/>
      <c r="AF1116" s="21"/>
      <c r="AG1116" s="21"/>
      <c r="AH1116" s="21"/>
      <c r="AI1116" s="21"/>
      <c r="AJ1116" s="21"/>
      <c r="AK1116" s="21"/>
      <c r="AL1116" s="21"/>
      <c r="AM1116" s="21"/>
      <c r="AN1116" s="21"/>
      <c r="AO1116" s="21"/>
      <c r="AP1116" s="21"/>
      <c r="AQ1116" s="21"/>
      <c r="AR1116" s="21"/>
      <c r="AS1116" s="21"/>
      <c r="AT1116" s="21"/>
      <c r="AU1116" s="21"/>
      <c r="AV1116" s="21"/>
      <c r="AW1116" s="21"/>
      <c r="AX1116" s="21"/>
      <c r="AY1116" s="21"/>
      <c r="AZ1116" s="21"/>
      <c r="BA1116" s="21"/>
      <c r="BB1116" s="21"/>
      <c r="BC1116" s="21"/>
      <c r="BD1116" s="21"/>
      <c r="BE1116" s="21"/>
      <c r="BF1116" s="21"/>
      <c r="BG1116" s="21"/>
      <c r="BH1116" s="21"/>
      <c r="BI1116" s="21"/>
      <c r="BJ1116" s="21"/>
      <c r="BK1116" s="10"/>
    </row>
    <row r="1117">
      <c r="A1117" s="50"/>
      <c r="D1117" s="51"/>
      <c r="E1117" s="18">
        <v>11.0</v>
      </c>
      <c r="F1117" s="19">
        <v>127.0</v>
      </c>
      <c r="G1117" s="21"/>
      <c r="H1117" s="21"/>
      <c r="I1117" s="21"/>
      <c r="J1117" s="21"/>
      <c r="K1117" s="21"/>
      <c r="L1117" s="21"/>
      <c r="M1117" s="21"/>
      <c r="N1117" s="21"/>
      <c r="O1117" s="21"/>
      <c r="P1117" s="21"/>
      <c r="Q1117" s="21"/>
      <c r="R1117" s="21"/>
      <c r="S1117" s="21"/>
      <c r="T1117" s="19">
        <v>720.0</v>
      </c>
      <c r="U1117" s="21"/>
      <c r="V1117" s="21"/>
      <c r="W1117" s="21"/>
      <c r="X1117" s="21"/>
      <c r="Y1117" s="21"/>
      <c r="Z1117" s="21"/>
      <c r="AA1117" s="21"/>
      <c r="AB1117" s="21"/>
      <c r="AC1117" s="21"/>
      <c r="AD1117" s="21"/>
      <c r="AE1117" s="21"/>
      <c r="AF1117" s="21"/>
      <c r="AG1117" s="21"/>
      <c r="AH1117" s="21"/>
      <c r="AI1117" s="21"/>
      <c r="AJ1117" s="21"/>
      <c r="AK1117" s="21"/>
      <c r="AL1117" s="21"/>
      <c r="AM1117" s="21"/>
      <c r="AN1117" s="21"/>
      <c r="AO1117" s="21"/>
      <c r="AP1117" s="21"/>
      <c r="AQ1117" s="21"/>
      <c r="AR1117" s="21"/>
      <c r="AS1117" s="21"/>
      <c r="AT1117" s="21"/>
      <c r="AU1117" s="21"/>
      <c r="AV1117" s="21"/>
      <c r="AW1117" s="21"/>
      <c r="AX1117" s="21"/>
      <c r="AY1117" s="21"/>
      <c r="AZ1117" s="21"/>
      <c r="BA1117" s="21"/>
      <c r="BB1117" s="21"/>
      <c r="BC1117" s="21"/>
      <c r="BD1117" s="21"/>
      <c r="BE1117" s="21"/>
      <c r="BF1117" s="21"/>
      <c r="BG1117" s="21"/>
      <c r="BH1117" s="21"/>
      <c r="BI1117" s="21"/>
      <c r="BJ1117" s="21"/>
      <c r="BK1117" s="10"/>
    </row>
    <row r="1118">
      <c r="A1118" s="50"/>
      <c r="D1118" s="51"/>
      <c r="E1118" s="18">
        <v>12.0</v>
      </c>
      <c r="F1118" s="19">
        <v>139.0</v>
      </c>
      <c r="G1118" s="21"/>
      <c r="H1118" s="21"/>
      <c r="I1118" s="21"/>
      <c r="J1118" s="21"/>
      <c r="K1118" s="21"/>
      <c r="L1118" s="21"/>
      <c r="M1118" s="21"/>
      <c r="N1118" s="21"/>
      <c r="O1118" s="21"/>
      <c r="P1118" s="21"/>
      <c r="Q1118" s="21"/>
      <c r="R1118" s="21"/>
      <c r="S1118" s="21"/>
      <c r="T1118" s="19">
        <v>792.0</v>
      </c>
      <c r="U1118" s="21"/>
      <c r="V1118" s="21"/>
      <c r="W1118" s="21"/>
      <c r="X1118" s="21"/>
      <c r="Y1118" s="21"/>
      <c r="Z1118" s="21"/>
      <c r="AA1118" s="21"/>
      <c r="AB1118" s="21"/>
      <c r="AC1118" s="21"/>
      <c r="AD1118" s="21"/>
      <c r="AE1118" s="21"/>
      <c r="AF1118" s="21"/>
      <c r="AG1118" s="21"/>
      <c r="AH1118" s="21"/>
      <c r="AI1118" s="21"/>
      <c r="AJ1118" s="21"/>
      <c r="AK1118" s="21"/>
      <c r="AL1118" s="21"/>
      <c r="AM1118" s="21"/>
      <c r="AN1118" s="21"/>
      <c r="AO1118" s="21"/>
      <c r="AP1118" s="21"/>
      <c r="AQ1118" s="21"/>
      <c r="AR1118" s="21"/>
      <c r="AS1118" s="21"/>
      <c r="AT1118" s="21"/>
      <c r="AU1118" s="21"/>
      <c r="AV1118" s="21"/>
      <c r="AW1118" s="21"/>
      <c r="AX1118" s="21"/>
      <c r="AY1118" s="21"/>
      <c r="AZ1118" s="21"/>
      <c r="BA1118" s="21"/>
      <c r="BB1118" s="21"/>
      <c r="BC1118" s="21"/>
      <c r="BD1118" s="21"/>
      <c r="BE1118" s="21"/>
      <c r="BF1118" s="21"/>
      <c r="BG1118" s="21"/>
      <c r="BH1118" s="21"/>
      <c r="BI1118" s="21"/>
      <c r="BJ1118" s="21"/>
      <c r="BK1118" s="10"/>
    </row>
    <row r="1119">
      <c r="A1119" s="52"/>
      <c r="B1119" s="53"/>
      <c r="C1119" s="53"/>
      <c r="D1119" s="54"/>
      <c r="E1119" s="18">
        <v>13.0</v>
      </c>
      <c r="F1119" s="19">
        <v>153.0</v>
      </c>
      <c r="G1119" s="22"/>
      <c r="H1119" s="22"/>
      <c r="I1119" s="22"/>
      <c r="J1119" s="22"/>
      <c r="K1119" s="22"/>
      <c r="L1119" s="22"/>
      <c r="M1119" s="22"/>
      <c r="N1119" s="22"/>
      <c r="O1119" s="22"/>
      <c r="P1119" s="22"/>
      <c r="Q1119" s="22"/>
      <c r="R1119" s="22"/>
      <c r="S1119" s="22"/>
      <c r="T1119" s="19">
        <v>870.0</v>
      </c>
      <c r="U1119" s="22"/>
      <c r="V1119" s="22"/>
      <c r="W1119" s="22"/>
      <c r="X1119" s="22"/>
      <c r="Y1119" s="22"/>
      <c r="Z1119" s="22"/>
      <c r="AA1119" s="22"/>
      <c r="AB1119" s="22"/>
      <c r="AC1119" s="22"/>
      <c r="AD1119" s="22"/>
      <c r="AE1119" s="22"/>
      <c r="AF1119" s="22"/>
      <c r="AG1119" s="22"/>
      <c r="AH1119" s="22"/>
      <c r="AI1119" s="22"/>
      <c r="AJ1119" s="22"/>
      <c r="AK1119" s="22"/>
      <c r="AL1119" s="22"/>
      <c r="AM1119" s="22"/>
      <c r="AN1119" s="22"/>
      <c r="AO1119" s="22"/>
      <c r="AP1119" s="22"/>
      <c r="AQ1119" s="22"/>
      <c r="AR1119" s="22"/>
      <c r="AS1119" s="22"/>
      <c r="AT1119" s="22"/>
      <c r="AU1119" s="22"/>
      <c r="AV1119" s="22"/>
      <c r="AW1119" s="22"/>
      <c r="AX1119" s="22"/>
      <c r="AY1119" s="22"/>
      <c r="AZ1119" s="22"/>
      <c r="BA1119" s="22"/>
      <c r="BB1119" s="22"/>
      <c r="BC1119" s="22"/>
      <c r="BD1119" s="22"/>
      <c r="BE1119" s="22"/>
      <c r="BF1119" s="22"/>
      <c r="BG1119" s="22"/>
      <c r="BH1119" s="22"/>
      <c r="BI1119" s="22"/>
      <c r="BJ1119" s="22"/>
      <c r="BK1119" s="10"/>
    </row>
    <row r="1120">
      <c r="A1120" s="47" t="s">
        <v>411</v>
      </c>
      <c r="B1120" s="48"/>
      <c r="C1120" s="48"/>
      <c r="D1120" s="49"/>
      <c r="E1120" s="18">
        <v>3.0</v>
      </c>
      <c r="F1120" s="18">
        <v>30.0</v>
      </c>
      <c r="G1120" s="16" t="s">
        <v>85</v>
      </c>
      <c r="H1120" s="36" t="s">
        <v>85</v>
      </c>
      <c r="I1120" s="36" t="s">
        <v>85</v>
      </c>
      <c r="J1120" s="36" t="s">
        <v>85</v>
      </c>
      <c r="K1120" s="36" t="s">
        <v>85</v>
      </c>
      <c r="L1120" s="16" t="s">
        <v>85</v>
      </c>
      <c r="M1120" s="36" t="s">
        <v>85</v>
      </c>
      <c r="N1120" s="16" t="s">
        <v>85</v>
      </c>
      <c r="O1120" s="16" t="s">
        <v>85</v>
      </c>
      <c r="P1120" s="16" t="s">
        <v>85</v>
      </c>
      <c r="Q1120" s="16" t="s">
        <v>85</v>
      </c>
      <c r="R1120" s="16" t="s">
        <v>85</v>
      </c>
      <c r="S1120" s="16" t="s">
        <v>85</v>
      </c>
      <c r="T1120" s="18">
        <v>170.0</v>
      </c>
      <c r="U1120" s="16" t="s">
        <v>85</v>
      </c>
      <c r="V1120" s="36" t="s">
        <v>85</v>
      </c>
      <c r="W1120" s="16" t="s">
        <v>85</v>
      </c>
      <c r="X1120" s="16" t="s">
        <v>85</v>
      </c>
      <c r="Y1120" s="36" t="s">
        <v>85</v>
      </c>
      <c r="Z1120" s="36" t="s">
        <v>85</v>
      </c>
      <c r="AA1120" s="36" t="s">
        <v>85</v>
      </c>
      <c r="AB1120" s="16" t="s">
        <v>85</v>
      </c>
      <c r="AC1120" s="16" t="s">
        <v>85</v>
      </c>
      <c r="AD1120" s="16" t="s">
        <v>85</v>
      </c>
      <c r="AE1120" s="16" t="s">
        <v>187</v>
      </c>
      <c r="AF1120" s="16" t="s">
        <v>109</v>
      </c>
      <c r="AG1120" s="16" t="s">
        <v>90</v>
      </c>
      <c r="AH1120" s="16" t="s">
        <v>85</v>
      </c>
      <c r="AI1120" s="16" t="s">
        <v>104</v>
      </c>
      <c r="AJ1120" s="16" t="s">
        <v>85</v>
      </c>
      <c r="AK1120" s="16" t="s">
        <v>85</v>
      </c>
      <c r="AL1120" s="16" t="s">
        <v>85</v>
      </c>
      <c r="AM1120" s="16" t="s">
        <v>85</v>
      </c>
      <c r="AN1120" s="16" t="s">
        <v>85</v>
      </c>
      <c r="AO1120" s="16" t="s">
        <v>85</v>
      </c>
      <c r="AP1120" s="16" t="s">
        <v>85</v>
      </c>
      <c r="AQ1120" s="16" t="s">
        <v>85</v>
      </c>
      <c r="AR1120" s="16" t="s">
        <v>85</v>
      </c>
      <c r="AS1120" s="16" t="s">
        <v>85</v>
      </c>
      <c r="AT1120" s="16" t="s">
        <v>85</v>
      </c>
      <c r="AU1120" s="16" t="s">
        <v>85</v>
      </c>
      <c r="AV1120" s="16" t="s">
        <v>85</v>
      </c>
      <c r="AW1120" s="16" t="s">
        <v>85</v>
      </c>
      <c r="AX1120" s="16" t="s">
        <v>85</v>
      </c>
      <c r="AY1120" s="16" t="s">
        <v>85</v>
      </c>
      <c r="AZ1120" s="16" t="s">
        <v>85</v>
      </c>
      <c r="BA1120" s="16" t="s">
        <v>85</v>
      </c>
      <c r="BB1120" s="16" t="s">
        <v>85</v>
      </c>
      <c r="BC1120" s="16" t="s">
        <v>85</v>
      </c>
      <c r="BD1120" s="16" t="s">
        <v>85</v>
      </c>
      <c r="BE1120" s="16" t="s">
        <v>85</v>
      </c>
      <c r="BF1120" s="16" t="s">
        <v>85</v>
      </c>
      <c r="BG1120" s="16" t="s">
        <v>85</v>
      </c>
      <c r="BH1120" s="16" t="s">
        <v>85</v>
      </c>
      <c r="BI1120" s="16" t="s">
        <v>85</v>
      </c>
      <c r="BJ1120" s="16" t="s">
        <v>85</v>
      </c>
      <c r="BK1120" s="10"/>
    </row>
    <row r="1121">
      <c r="A1121" s="50"/>
      <c r="D1121" s="51"/>
      <c r="E1121" s="18">
        <v>4.0</v>
      </c>
      <c r="F1121" s="19">
        <v>33.0</v>
      </c>
      <c r="G1121" s="21"/>
      <c r="H1121" s="21"/>
      <c r="I1121" s="21"/>
      <c r="J1121" s="21"/>
      <c r="K1121" s="21"/>
      <c r="L1121" s="21"/>
      <c r="M1121" s="21"/>
      <c r="N1121" s="21"/>
      <c r="O1121" s="21"/>
      <c r="P1121" s="21"/>
      <c r="Q1121" s="21"/>
      <c r="R1121" s="21"/>
      <c r="S1121" s="21"/>
      <c r="T1121" s="19">
        <v>187.0</v>
      </c>
      <c r="U1121" s="21"/>
      <c r="V1121" s="21"/>
      <c r="W1121" s="21"/>
      <c r="X1121" s="21"/>
      <c r="Y1121" s="21"/>
      <c r="Z1121" s="21"/>
      <c r="AA1121" s="21"/>
      <c r="AB1121" s="21"/>
      <c r="AC1121" s="21"/>
      <c r="AD1121" s="21"/>
      <c r="AE1121" s="21"/>
      <c r="AF1121" s="21"/>
      <c r="AG1121" s="21"/>
      <c r="AH1121" s="21"/>
      <c r="AI1121" s="21"/>
      <c r="AJ1121" s="21"/>
      <c r="AK1121" s="21"/>
      <c r="AL1121" s="21"/>
      <c r="AM1121" s="21"/>
      <c r="AN1121" s="21"/>
      <c r="AO1121" s="21"/>
      <c r="AP1121" s="21"/>
      <c r="AQ1121" s="21"/>
      <c r="AR1121" s="21"/>
      <c r="AS1121" s="21"/>
      <c r="AT1121" s="21"/>
      <c r="AU1121" s="21"/>
      <c r="AV1121" s="21"/>
      <c r="AW1121" s="21"/>
      <c r="AX1121" s="21"/>
      <c r="AY1121" s="21"/>
      <c r="AZ1121" s="21"/>
      <c r="BA1121" s="21"/>
      <c r="BB1121" s="21"/>
      <c r="BC1121" s="21"/>
      <c r="BD1121" s="21"/>
      <c r="BE1121" s="21"/>
      <c r="BF1121" s="21"/>
      <c r="BG1121" s="21"/>
      <c r="BH1121" s="21"/>
      <c r="BI1121" s="21"/>
      <c r="BJ1121" s="21"/>
      <c r="BK1121" s="10"/>
    </row>
    <row r="1122">
      <c r="A1122" s="50"/>
      <c r="D1122" s="51"/>
      <c r="E1122" s="18">
        <v>5.0</v>
      </c>
      <c r="F1122" s="19">
        <v>36.0</v>
      </c>
      <c r="G1122" s="21"/>
      <c r="H1122" s="21"/>
      <c r="I1122" s="21"/>
      <c r="J1122" s="21"/>
      <c r="K1122" s="21"/>
      <c r="L1122" s="21"/>
      <c r="M1122" s="21"/>
      <c r="N1122" s="21"/>
      <c r="O1122" s="21"/>
      <c r="P1122" s="21"/>
      <c r="Q1122" s="21"/>
      <c r="R1122" s="21"/>
      <c r="S1122" s="21"/>
      <c r="T1122" s="19">
        <v>205.0</v>
      </c>
      <c r="U1122" s="21"/>
      <c r="V1122" s="21"/>
      <c r="W1122" s="21"/>
      <c r="X1122" s="21"/>
      <c r="Y1122" s="21"/>
      <c r="Z1122" s="21"/>
      <c r="AA1122" s="21"/>
      <c r="AB1122" s="21"/>
      <c r="AC1122" s="21"/>
      <c r="AD1122" s="21"/>
      <c r="AE1122" s="21"/>
      <c r="AF1122" s="21"/>
      <c r="AG1122" s="21"/>
      <c r="AH1122" s="21"/>
      <c r="AI1122" s="21"/>
      <c r="AJ1122" s="21"/>
      <c r="AK1122" s="21"/>
      <c r="AL1122" s="21"/>
      <c r="AM1122" s="21"/>
      <c r="AN1122" s="21"/>
      <c r="AO1122" s="21"/>
      <c r="AP1122" s="21"/>
      <c r="AQ1122" s="21"/>
      <c r="AR1122" s="21"/>
      <c r="AS1122" s="21"/>
      <c r="AT1122" s="21"/>
      <c r="AU1122" s="21"/>
      <c r="AV1122" s="21"/>
      <c r="AW1122" s="21"/>
      <c r="AX1122" s="21"/>
      <c r="AY1122" s="21"/>
      <c r="AZ1122" s="21"/>
      <c r="BA1122" s="21"/>
      <c r="BB1122" s="21"/>
      <c r="BC1122" s="21"/>
      <c r="BD1122" s="21"/>
      <c r="BE1122" s="21"/>
      <c r="BF1122" s="21"/>
      <c r="BG1122" s="21"/>
      <c r="BH1122" s="21"/>
      <c r="BI1122" s="21"/>
      <c r="BJ1122" s="21"/>
      <c r="BK1122" s="10"/>
    </row>
    <row r="1123">
      <c r="A1123" s="50"/>
      <c r="D1123" s="51"/>
      <c r="E1123" s="18">
        <v>6.0</v>
      </c>
      <c r="F1123" s="19">
        <v>39.0</v>
      </c>
      <c r="G1123" s="21"/>
      <c r="H1123" s="21"/>
      <c r="I1123" s="21"/>
      <c r="J1123" s="21"/>
      <c r="K1123" s="21"/>
      <c r="L1123" s="21"/>
      <c r="M1123" s="21"/>
      <c r="N1123" s="21"/>
      <c r="O1123" s="21"/>
      <c r="P1123" s="21"/>
      <c r="Q1123" s="21"/>
      <c r="R1123" s="21"/>
      <c r="S1123" s="21"/>
      <c r="T1123" s="19">
        <v>226.0</v>
      </c>
      <c r="U1123" s="21"/>
      <c r="V1123" s="21"/>
      <c r="W1123" s="21"/>
      <c r="X1123" s="21"/>
      <c r="Y1123" s="21"/>
      <c r="Z1123" s="21"/>
      <c r="AA1123" s="21"/>
      <c r="AB1123" s="21"/>
      <c r="AC1123" s="21"/>
      <c r="AD1123" s="21"/>
      <c r="AE1123" s="21"/>
      <c r="AF1123" s="21"/>
      <c r="AG1123" s="21"/>
      <c r="AH1123" s="21"/>
      <c r="AI1123" s="21"/>
      <c r="AJ1123" s="21"/>
      <c r="AK1123" s="21"/>
      <c r="AL1123" s="21"/>
      <c r="AM1123" s="21"/>
      <c r="AN1123" s="21"/>
      <c r="AO1123" s="21"/>
      <c r="AP1123" s="21"/>
      <c r="AQ1123" s="21"/>
      <c r="AR1123" s="21"/>
      <c r="AS1123" s="21"/>
      <c r="AT1123" s="21"/>
      <c r="AU1123" s="21"/>
      <c r="AV1123" s="21"/>
      <c r="AW1123" s="21"/>
      <c r="AX1123" s="21"/>
      <c r="AY1123" s="21"/>
      <c r="AZ1123" s="21"/>
      <c r="BA1123" s="21"/>
      <c r="BB1123" s="21"/>
      <c r="BC1123" s="21"/>
      <c r="BD1123" s="21"/>
      <c r="BE1123" s="21"/>
      <c r="BF1123" s="21"/>
      <c r="BG1123" s="21"/>
      <c r="BH1123" s="21"/>
      <c r="BI1123" s="21"/>
      <c r="BJ1123" s="21"/>
      <c r="BK1123" s="10"/>
    </row>
    <row r="1124">
      <c r="A1124" s="50"/>
      <c r="D1124" s="51"/>
      <c r="E1124" s="18">
        <v>7.0</v>
      </c>
      <c r="F1124" s="19">
        <v>43.0</v>
      </c>
      <c r="G1124" s="21"/>
      <c r="H1124" s="21"/>
      <c r="I1124" s="21"/>
      <c r="J1124" s="21"/>
      <c r="K1124" s="21"/>
      <c r="L1124" s="21"/>
      <c r="M1124" s="21"/>
      <c r="N1124" s="21"/>
      <c r="O1124" s="21"/>
      <c r="P1124" s="21"/>
      <c r="Q1124" s="21"/>
      <c r="R1124" s="21"/>
      <c r="S1124" s="21"/>
      <c r="T1124" s="19">
        <v>248.0</v>
      </c>
      <c r="U1124" s="21"/>
      <c r="V1124" s="21"/>
      <c r="W1124" s="21"/>
      <c r="X1124" s="21"/>
      <c r="Y1124" s="21"/>
      <c r="Z1124" s="21"/>
      <c r="AA1124" s="21"/>
      <c r="AB1124" s="21"/>
      <c r="AC1124" s="21"/>
      <c r="AD1124" s="21"/>
      <c r="AE1124" s="21"/>
      <c r="AF1124" s="21"/>
      <c r="AG1124" s="21"/>
      <c r="AH1124" s="21"/>
      <c r="AI1124" s="21"/>
      <c r="AJ1124" s="21"/>
      <c r="AK1124" s="21"/>
      <c r="AL1124" s="21"/>
      <c r="AM1124" s="21"/>
      <c r="AN1124" s="21"/>
      <c r="AO1124" s="21"/>
      <c r="AP1124" s="21"/>
      <c r="AQ1124" s="21"/>
      <c r="AR1124" s="21"/>
      <c r="AS1124" s="21"/>
      <c r="AT1124" s="21"/>
      <c r="AU1124" s="21"/>
      <c r="AV1124" s="21"/>
      <c r="AW1124" s="21"/>
      <c r="AX1124" s="21"/>
      <c r="AY1124" s="21"/>
      <c r="AZ1124" s="21"/>
      <c r="BA1124" s="21"/>
      <c r="BB1124" s="21"/>
      <c r="BC1124" s="21"/>
      <c r="BD1124" s="21"/>
      <c r="BE1124" s="21"/>
      <c r="BF1124" s="21"/>
      <c r="BG1124" s="21"/>
      <c r="BH1124" s="21"/>
      <c r="BI1124" s="21"/>
      <c r="BJ1124" s="21"/>
      <c r="BK1124" s="10"/>
    </row>
    <row r="1125">
      <c r="A1125" s="50"/>
      <c r="D1125" s="51"/>
      <c r="E1125" s="18">
        <v>8.0</v>
      </c>
      <c r="F1125" s="19">
        <v>48.0</v>
      </c>
      <c r="G1125" s="21"/>
      <c r="H1125" s="21"/>
      <c r="I1125" s="21"/>
      <c r="J1125" s="21"/>
      <c r="K1125" s="21"/>
      <c r="L1125" s="21"/>
      <c r="M1125" s="21"/>
      <c r="N1125" s="21"/>
      <c r="O1125" s="21"/>
      <c r="P1125" s="21"/>
      <c r="Q1125" s="21"/>
      <c r="R1125" s="21"/>
      <c r="S1125" s="21"/>
      <c r="T1125" s="19">
        <v>272.0</v>
      </c>
      <c r="U1125" s="21"/>
      <c r="V1125" s="21"/>
      <c r="W1125" s="21"/>
      <c r="X1125" s="21"/>
      <c r="Y1125" s="21"/>
      <c r="Z1125" s="21"/>
      <c r="AA1125" s="21"/>
      <c r="AB1125" s="21"/>
      <c r="AC1125" s="21"/>
      <c r="AD1125" s="21"/>
      <c r="AE1125" s="21"/>
      <c r="AF1125" s="21"/>
      <c r="AG1125" s="21"/>
      <c r="AH1125" s="21"/>
      <c r="AI1125" s="21"/>
      <c r="AJ1125" s="21"/>
      <c r="AK1125" s="21"/>
      <c r="AL1125" s="21"/>
      <c r="AM1125" s="21"/>
      <c r="AN1125" s="21"/>
      <c r="AO1125" s="21"/>
      <c r="AP1125" s="21"/>
      <c r="AQ1125" s="21"/>
      <c r="AR1125" s="21"/>
      <c r="AS1125" s="21"/>
      <c r="AT1125" s="21"/>
      <c r="AU1125" s="21"/>
      <c r="AV1125" s="21"/>
      <c r="AW1125" s="21"/>
      <c r="AX1125" s="21"/>
      <c r="AY1125" s="21"/>
      <c r="AZ1125" s="21"/>
      <c r="BA1125" s="21"/>
      <c r="BB1125" s="21"/>
      <c r="BC1125" s="21"/>
      <c r="BD1125" s="21"/>
      <c r="BE1125" s="21"/>
      <c r="BF1125" s="21"/>
      <c r="BG1125" s="21"/>
      <c r="BH1125" s="21"/>
      <c r="BI1125" s="21"/>
      <c r="BJ1125" s="21"/>
      <c r="BK1125" s="10"/>
    </row>
    <row r="1126">
      <c r="A1126" s="50"/>
      <c r="D1126" s="51"/>
      <c r="E1126" s="18">
        <v>9.0</v>
      </c>
      <c r="F1126" s="19">
        <v>52.0</v>
      </c>
      <c r="G1126" s="21"/>
      <c r="H1126" s="21"/>
      <c r="I1126" s="21"/>
      <c r="J1126" s="21"/>
      <c r="K1126" s="21"/>
      <c r="L1126" s="21"/>
      <c r="M1126" s="21"/>
      <c r="N1126" s="21"/>
      <c r="O1126" s="21"/>
      <c r="P1126" s="21"/>
      <c r="Q1126" s="21"/>
      <c r="R1126" s="21"/>
      <c r="S1126" s="21"/>
      <c r="T1126" s="19">
        <v>299.0</v>
      </c>
      <c r="U1126" s="21"/>
      <c r="V1126" s="21"/>
      <c r="W1126" s="21"/>
      <c r="X1126" s="21"/>
      <c r="Y1126" s="21"/>
      <c r="Z1126" s="21"/>
      <c r="AA1126" s="21"/>
      <c r="AB1126" s="21"/>
      <c r="AC1126" s="21"/>
      <c r="AD1126" s="21"/>
      <c r="AE1126" s="21"/>
      <c r="AF1126" s="21"/>
      <c r="AG1126" s="21"/>
      <c r="AH1126" s="21"/>
      <c r="AI1126" s="21"/>
      <c r="AJ1126" s="21"/>
      <c r="AK1126" s="21"/>
      <c r="AL1126" s="21"/>
      <c r="AM1126" s="21"/>
      <c r="AN1126" s="21"/>
      <c r="AO1126" s="21"/>
      <c r="AP1126" s="21"/>
      <c r="AQ1126" s="21"/>
      <c r="AR1126" s="21"/>
      <c r="AS1126" s="21"/>
      <c r="AT1126" s="21"/>
      <c r="AU1126" s="21"/>
      <c r="AV1126" s="21"/>
      <c r="AW1126" s="21"/>
      <c r="AX1126" s="21"/>
      <c r="AY1126" s="21"/>
      <c r="AZ1126" s="21"/>
      <c r="BA1126" s="21"/>
      <c r="BB1126" s="21"/>
      <c r="BC1126" s="21"/>
      <c r="BD1126" s="21"/>
      <c r="BE1126" s="21"/>
      <c r="BF1126" s="21"/>
      <c r="BG1126" s="21"/>
      <c r="BH1126" s="21"/>
      <c r="BI1126" s="21"/>
      <c r="BJ1126" s="21"/>
      <c r="BK1126" s="10"/>
    </row>
    <row r="1127">
      <c r="A1127" s="50"/>
      <c r="D1127" s="51"/>
      <c r="E1127" s="18">
        <v>10.0</v>
      </c>
      <c r="F1127" s="19">
        <v>57.0</v>
      </c>
      <c r="G1127" s="21"/>
      <c r="H1127" s="21"/>
      <c r="I1127" s="21"/>
      <c r="J1127" s="21"/>
      <c r="K1127" s="21"/>
      <c r="L1127" s="21"/>
      <c r="M1127" s="21"/>
      <c r="N1127" s="21"/>
      <c r="O1127" s="21"/>
      <c r="P1127" s="21"/>
      <c r="Q1127" s="21"/>
      <c r="R1127" s="21"/>
      <c r="S1127" s="21"/>
      <c r="T1127" s="19">
        <v>328.0</v>
      </c>
      <c r="U1127" s="21"/>
      <c r="V1127" s="21"/>
      <c r="W1127" s="21"/>
      <c r="X1127" s="21"/>
      <c r="Y1127" s="21"/>
      <c r="Z1127" s="21"/>
      <c r="AA1127" s="21"/>
      <c r="AB1127" s="21"/>
      <c r="AC1127" s="21"/>
      <c r="AD1127" s="21"/>
      <c r="AE1127" s="21"/>
      <c r="AF1127" s="21"/>
      <c r="AG1127" s="21"/>
      <c r="AH1127" s="21"/>
      <c r="AI1127" s="21"/>
      <c r="AJ1127" s="21"/>
      <c r="AK1127" s="21"/>
      <c r="AL1127" s="21"/>
      <c r="AM1127" s="21"/>
      <c r="AN1127" s="21"/>
      <c r="AO1127" s="21"/>
      <c r="AP1127" s="21"/>
      <c r="AQ1127" s="21"/>
      <c r="AR1127" s="21"/>
      <c r="AS1127" s="21"/>
      <c r="AT1127" s="21"/>
      <c r="AU1127" s="21"/>
      <c r="AV1127" s="21"/>
      <c r="AW1127" s="21"/>
      <c r="AX1127" s="21"/>
      <c r="AY1127" s="21"/>
      <c r="AZ1127" s="21"/>
      <c r="BA1127" s="21"/>
      <c r="BB1127" s="21"/>
      <c r="BC1127" s="21"/>
      <c r="BD1127" s="21"/>
      <c r="BE1127" s="21"/>
      <c r="BF1127" s="21"/>
      <c r="BG1127" s="21"/>
      <c r="BH1127" s="21"/>
      <c r="BI1127" s="21"/>
      <c r="BJ1127" s="21"/>
      <c r="BK1127" s="10"/>
    </row>
    <row r="1128">
      <c r="A1128" s="50"/>
      <c r="D1128" s="51"/>
      <c r="E1128" s="18">
        <v>11.0</v>
      </c>
      <c r="F1128" s="19">
        <v>63.0</v>
      </c>
      <c r="G1128" s="21"/>
      <c r="H1128" s="21"/>
      <c r="I1128" s="21"/>
      <c r="J1128" s="21"/>
      <c r="K1128" s="21"/>
      <c r="L1128" s="21"/>
      <c r="M1128" s="21"/>
      <c r="N1128" s="21"/>
      <c r="O1128" s="21"/>
      <c r="P1128" s="21"/>
      <c r="Q1128" s="21"/>
      <c r="R1128" s="21"/>
      <c r="S1128" s="21"/>
      <c r="T1128" s="19">
        <v>360.0</v>
      </c>
      <c r="U1128" s="21"/>
      <c r="V1128" s="21"/>
      <c r="W1128" s="21"/>
      <c r="X1128" s="21"/>
      <c r="Y1128" s="21"/>
      <c r="Z1128" s="21"/>
      <c r="AA1128" s="21"/>
      <c r="AB1128" s="21"/>
      <c r="AC1128" s="21"/>
      <c r="AD1128" s="21"/>
      <c r="AE1128" s="21"/>
      <c r="AF1128" s="21"/>
      <c r="AG1128" s="21"/>
      <c r="AH1128" s="21"/>
      <c r="AI1128" s="21"/>
      <c r="AJ1128" s="21"/>
      <c r="AK1128" s="21"/>
      <c r="AL1128" s="21"/>
      <c r="AM1128" s="21"/>
      <c r="AN1128" s="21"/>
      <c r="AO1128" s="21"/>
      <c r="AP1128" s="21"/>
      <c r="AQ1128" s="21"/>
      <c r="AR1128" s="21"/>
      <c r="AS1128" s="21"/>
      <c r="AT1128" s="21"/>
      <c r="AU1128" s="21"/>
      <c r="AV1128" s="21"/>
      <c r="AW1128" s="21"/>
      <c r="AX1128" s="21"/>
      <c r="AY1128" s="21"/>
      <c r="AZ1128" s="21"/>
      <c r="BA1128" s="21"/>
      <c r="BB1128" s="21"/>
      <c r="BC1128" s="21"/>
      <c r="BD1128" s="21"/>
      <c r="BE1128" s="21"/>
      <c r="BF1128" s="21"/>
      <c r="BG1128" s="21"/>
      <c r="BH1128" s="21"/>
      <c r="BI1128" s="21"/>
      <c r="BJ1128" s="21"/>
      <c r="BK1128" s="10"/>
    </row>
    <row r="1129">
      <c r="A1129" s="50"/>
      <c r="D1129" s="51"/>
      <c r="E1129" s="18">
        <v>12.0</v>
      </c>
      <c r="F1129" s="19">
        <v>69.0</v>
      </c>
      <c r="G1129" s="21"/>
      <c r="H1129" s="21"/>
      <c r="I1129" s="21"/>
      <c r="J1129" s="21"/>
      <c r="K1129" s="21"/>
      <c r="L1129" s="21"/>
      <c r="M1129" s="21"/>
      <c r="N1129" s="21"/>
      <c r="O1129" s="21"/>
      <c r="P1129" s="21"/>
      <c r="Q1129" s="21"/>
      <c r="R1129" s="21"/>
      <c r="S1129" s="21"/>
      <c r="T1129" s="19">
        <v>396.0</v>
      </c>
      <c r="U1129" s="21"/>
      <c r="V1129" s="21"/>
      <c r="W1129" s="21"/>
      <c r="X1129" s="21"/>
      <c r="Y1129" s="21"/>
      <c r="Z1129" s="21"/>
      <c r="AA1129" s="21"/>
      <c r="AB1129" s="21"/>
      <c r="AC1129" s="21"/>
      <c r="AD1129" s="21"/>
      <c r="AE1129" s="21"/>
      <c r="AF1129" s="21"/>
      <c r="AG1129" s="21"/>
      <c r="AH1129" s="21"/>
      <c r="AI1129" s="21"/>
      <c r="AJ1129" s="21"/>
      <c r="AK1129" s="21"/>
      <c r="AL1129" s="21"/>
      <c r="AM1129" s="21"/>
      <c r="AN1129" s="21"/>
      <c r="AO1129" s="21"/>
      <c r="AP1129" s="21"/>
      <c r="AQ1129" s="21"/>
      <c r="AR1129" s="21"/>
      <c r="AS1129" s="21"/>
      <c r="AT1129" s="21"/>
      <c r="AU1129" s="21"/>
      <c r="AV1129" s="21"/>
      <c r="AW1129" s="21"/>
      <c r="AX1129" s="21"/>
      <c r="AY1129" s="21"/>
      <c r="AZ1129" s="21"/>
      <c r="BA1129" s="21"/>
      <c r="BB1129" s="21"/>
      <c r="BC1129" s="21"/>
      <c r="BD1129" s="21"/>
      <c r="BE1129" s="21"/>
      <c r="BF1129" s="21"/>
      <c r="BG1129" s="21"/>
      <c r="BH1129" s="21"/>
      <c r="BI1129" s="21"/>
      <c r="BJ1129" s="21"/>
      <c r="BK1129" s="10"/>
    </row>
    <row r="1130">
      <c r="A1130" s="52"/>
      <c r="B1130" s="53"/>
      <c r="C1130" s="53"/>
      <c r="D1130" s="54"/>
      <c r="E1130" s="18">
        <v>13.0</v>
      </c>
      <c r="F1130" s="19">
        <v>76.0</v>
      </c>
      <c r="G1130" s="22"/>
      <c r="H1130" s="22"/>
      <c r="I1130" s="22"/>
      <c r="J1130" s="22"/>
      <c r="K1130" s="22"/>
      <c r="L1130" s="22"/>
      <c r="M1130" s="22"/>
      <c r="N1130" s="22"/>
      <c r="O1130" s="22"/>
      <c r="P1130" s="22"/>
      <c r="Q1130" s="22"/>
      <c r="R1130" s="22"/>
      <c r="S1130" s="22"/>
      <c r="T1130" s="19">
        <v>435.0</v>
      </c>
      <c r="U1130" s="22"/>
      <c r="V1130" s="22"/>
      <c r="W1130" s="22"/>
      <c r="X1130" s="22"/>
      <c r="Y1130" s="22"/>
      <c r="Z1130" s="22"/>
      <c r="AA1130" s="22"/>
      <c r="AB1130" s="22"/>
      <c r="AC1130" s="22"/>
      <c r="AD1130" s="22"/>
      <c r="AE1130" s="22"/>
      <c r="AF1130" s="22"/>
      <c r="AG1130" s="22"/>
      <c r="AH1130" s="22"/>
      <c r="AI1130" s="22"/>
      <c r="AJ1130" s="22"/>
      <c r="AK1130" s="22"/>
      <c r="AL1130" s="22"/>
      <c r="AM1130" s="22"/>
      <c r="AN1130" s="22"/>
      <c r="AO1130" s="22"/>
      <c r="AP1130" s="22"/>
      <c r="AQ1130" s="22"/>
      <c r="AR1130" s="22"/>
      <c r="AS1130" s="22"/>
      <c r="AT1130" s="22"/>
      <c r="AU1130" s="22"/>
      <c r="AV1130" s="22"/>
      <c r="AW1130" s="22"/>
      <c r="AX1130" s="22"/>
      <c r="AY1130" s="22"/>
      <c r="AZ1130" s="22"/>
      <c r="BA1130" s="22"/>
      <c r="BB1130" s="22"/>
      <c r="BC1130" s="22"/>
      <c r="BD1130" s="22"/>
      <c r="BE1130" s="22"/>
      <c r="BF1130" s="22"/>
      <c r="BG1130" s="22"/>
      <c r="BH1130" s="22"/>
      <c r="BI1130" s="22"/>
      <c r="BJ1130" s="22"/>
      <c r="BK1130" s="10"/>
    </row>
    <row r="1131">
      <c r="A1131" s="47" t="s">
        <v>400</v>
      </c>
      <c r="B1131" s="48"/>
      <c r="C1131" s="48"/>
      <c r="D1131" s="49"/>
      <c r="E1131" s="18">
        <v>9.0</v>
      </c>
      <c r="F1131" s="18">
        <v>44.0</v>
      </c>
      <c r="G1131" s="16" t="s">
        <v>85</v>
      </c>
      <c r="H1131" s="36" t="s">
        <v>85</v>
      </c>
      <c r="I1131" s="36" t="s">
        <v>85</v>
      </c>
      <c r="J1131" s="36" t="s">
        <v>85</v>
      </c>
      <c r="K1131" s="36" t="s">
        <v>85</v>
      </c>
      <c r="L1131" s="16" t="s">
        <v>85</v>
      </c>
      <c r="M1131" s="36" t="s">
        <v>85</v>
      </c>
      <c r="N1131" s="16" t="s">
        <v>85</v>
      </c>
      <c r="O1131" s="16" t="s">
        <v>85</v>
      </c>
      <c r="P1131" s="16" t="s">
        <v>85</v>
      </c>
      <c r="Q1131" s="16" t="s">
        <v>85</v>
      </c>
      <c r="R1131" s="16" t="s">
        <v>85</v>
      </c>
      <c r="S1131" s="16" t="s">
        <v>85</v>
      </c>
      <c r="T1131" s="18">
        <v>520.0</v>
      </c>
      <c r="U1131" s="16" t="s">
        <v>85</v>
      </c>
      <c r="V1131" s="36" t="s">
        <v>85</v>
      </c>
      <c r="W1131" s="16" t="s">
        <v>85</v>
      </c>
      <c r="X1131" s="16" t="s">
        <v>85</v>
      </c>
      <c r="Y1131" s="36" t="s">
        <v>85</v>
      </c>
      <c r="Z1131" s="36" t="s">
        <v>85</v>
      </c>
      <c r="AA1131" s="36" t="s">
        <v>85</v>
      </c>
      <c r="AB1131" s="16" t="s">
        <v>85</v>
      </c>
      <c r="AC1131" s="16" t="s">
        <v>85</v>
      </c>
      <c r="AD1131" s="16" t="s">
        <v>85</v>
      </c>
      <c r="AE1131" s="16" t="s">
        <v>94</v>
      </c>
      <c r="AF1131" s="16" t="s">
        <v>109</v>
      </c>
      <c r="AG1131" s="16" t="s">
        <v>114</v>
      </c>
      <c r="AH1131" s="16" t="s">
        <v>85</v>
      </c>
      <c r="AI1131" s="16" t="s">
        <v>104</v>
      </c>
      <c r="AJ1131" s="16" t="s">
        <v>85</v>
      </c>
      <c r="AK1131" s="16" t="s">
        <v>85</v>
      </c>
      <c r="AL1131" s="16" t="s">
        <v>85</v>
      </c>
      <c r="AM1131" s="16" t="s">
        <v>85</v>
      </c>
      <c r="AN1131" s="16" t="s">
        <v>85</v>
      </c>
      <c r="AO1131" s="16" t="s">
        <v>85</v>
      </c>
      <c r="AP1131" s="16" t="s">
        <v>85</v>
      </c>
      <c r="AQ1131" s="16" t="s">
        <v>85</v>
      </c>
      <c r="AR1131" s="16" t="s">
        <v>85</v>
      </c>
      <c r="AS1131" s="16" t="s">
        <v>85</v>
      </c>
      <c r="AT1131" s="16" t="s">
        <v>85</v>
      </c>
      <c r="AU1131" s="16" t="s">
        <v>85</v>
      </c>
      <c r="AV1131" s="16" t="s">
        <v>85</v>
      </c>
      <c r="AW1131" s="16" t="s">
        <v>85</v>
      </c>
      <c r="AX1131" s="16" t="s">
        <v>85</v>
      </c>
      <c r="AY1131" s="16" t="s">
        <v>85</v>
      </c>
      <c r="AZ1131" s="16" t="s">
        <v>85</v>
      </c>
      <c r="BA1131" s="16" t="s">
        <v>85</v>
      </c>
      <c r="BB1131" s="16" t="s">
        <v>85</v>
      </c>
      <c r="BC1131" s="16" t="s">
        <v>85</v>
      </c>
      <c r="BD1131" s="16" t="s">
        <v>85</v>
      </c>
      <c r="BE1131" s="16" t="s">
        <v>85</v>
      </c>
      <c r="BF1131" s="16" t="s">
        <v>85</v>
      </c>
      <c r="BG1131" s="16" t="s">
        <v>85</v>
      </c>
      <c r="BH1131" s="16" t="s">
        <v>85</v>
      </c>
      <c r="BI1131" s="16" t="s">
        <v>85</v>
      </c>
      <c r="BJ1131" s="16" t="s">
        <v>85</v>
      </c>
      <c r="BK1131" s="10"/>
    </row>
    <row r="1132">
      <c r="A1132" s="50"/>
      <c r="D1132" s="51"/>
      <c r="E1132" s="18">
        <v>10.0</v>
      </c>
      <c r="F1132" s="19">
        <v>48.0</v>
      </c>
      <c r="G1132" s="21"/>
      <c r="H1132" s="21"/>
      <c r="I1132" s="21"/>
      <c r="J1132" s="21"/>
      <c r="K1132" s="21"/>
      <c r="L1132" s="21"/>
      <c r="M1132" s="21"/>
      <c r="N1132" s="21"/>
      <c r="O1132" s="21"/>
      <c r="P1132" s="21"/>
      <c r="Q1132" s="21"/>
      <c r="R1132" s="21"/>
      <c r="S1132" s="21"/>
      <c r="T1132" s="19">
        <v>572.0</v>
      </c>
      <c r="U1132" s="21"/>
      <c r="V1132" s="21"/>
      <c r="W1132" s="21"/>
      <c r="X1132" s="21"/>
      <c r="Y1132" s="21"/>
      <c r="Z1132" s="21"/>
      <c r="AA1132" s="21"/>
      <c r="AB1132" s="21"/>
      <c r="AC1132" s="21"/>
      <c r="AD1132" s="21"/>
      <c r="AE1132" s="21"/>
      <c r="AF1132" s="21"/>
      <c r="AG1132" s="21"/>
      <c r="AH1132" s="21"/>
      <c r="AI1132" s="21"/>
      <c r="AJ1132" s="21"/>
      <c r="AK1132" s="21"/>
      <c r="AL1132" s="21"/>
      <c r="AM1132" s="21"/>
      <c r="AN1132" s="21"/>
      <c r="AO1132" s="21"/>
      <c r="AP1132" s="21"/>
      <c r="AQ1132" s="21"/>
      <c r="AR1132" s="21"/>
      <c r="AS1132" s="21"/>
      <c r="AT1132" s="21"/>
      <c r="AU1132" s="21"/>
      <c r="AV1132" s="21"/>
      <c r="AW1132" s="21"/>
      <c r="AX1132" s="21"/>
      <c r="AY1132" s="21"/>
      <c r="AZ1132" s="21"/>
      <c r="BA1132" s="21"/>
      <c r="BB1132" s="21"/>
      <c r="BC1132" s="21"/>
      <c r="BD1132" s="21"/>
      <c r="BE1132" s="21"/>
      <c r="BF1132" s="21"/>
      <c r="BG1132" s="21"/>
      <c r="BH1132" s="21"/>
      <c r="BI1132" s="21"/>
      <c r="BJ1132" s="21"/>
      <c r="BK1132" s="10"/>
    </row>
    <row r="1133">
      <c r="A1133" s="50"/>
      <c r="D1133" s="51"/>
      <c r="E1133" s="18">
        <v>11.0</v>
      </c>
      <c r="F1133" s="19">
        <v>53.0</v>
      </c>
      <c r="G1133" s="21"/>
      <c r="H1133" s="21"/>
      <c r="I1133" s="21"/>
      <c r="J1133" s="21"/>
      <c r="K1133" s="21"/>
      <c r="L1133" s="21"/>
      <c r="M1133" s="21"/>
      <c r="N1133" s="21"/>
      <c r="O1133" s="21"/>
      <c r="P1133" s="21"/>
      <c r="Q1133" s="21"/>
      <c r="R1133" s="21"/>
      <c r="S1133" s="21"/>
      <c r="T1133" s="19">
        <v>629.0</v>
      </c>
      <c r="U1133" s="21"/>
      <c r="V1133" s="21"/>
      <c r="W1133" s="21"/>
      <c r="X1133" s="21"/>
      <c r="Y1133" s="21"/>
      <c r="Z1133" s="21"/>
      <c r="AA1133" s="21"/>
      <c r="AB1133" s="21"/>
      <c r="AC1133" s="21"/>
      <c r="AD1133" s="21"/>
      <c r="AE1133" s="21"/>
      <c r="AF1133" s="21"/>
      <c r="AG1133" s="21"/>
      <c r="AH1133" s="21"/>
      <c r="AI1133" s="21"/>
      <c r="AJ1133" s="21"/>
      <c r="AK1133" s="21"/>
      <c r="AL1133" s="21"/>
      <c r="AM1133" s="21"/>
      <c r="AN1133" s="21"/>
      <c r="AO1133" s="21"/>
      <c r="AP1133" s="21"/>
      <c r="AQ1133" s="21"/>
      <c r="AR1133" s="21"/>
      <c r="AS1133" s="21"/>
      <c r="AT1133" s="21"/>
      <c r="AU1133" s="21"/>
      <c r="AV1133" s="21"/>
      <c r="AW1133" s="21"/>
      <c r="AX1133" s="21"/>
      <c r="AY1133" s="21"/>
      <c r="AZ1133" s="21"/>
      <c r="BA1133" s="21"/>
      <c r="BB1133" s="21"/>
      <c r="BC1133" s="21"/>
      <c r="BD1133" s="21"/>
      <c r="BE1133" s="21"/>
      <c r="BF1133" s="21"/>
      <c r="BG1133" s="21"/>
      <c r="BH1133" s="21"/>
      <c r="BI1133" s="21"/>
      <c r="BJ1133" s="21"/>
      <c r="BK1133" s="10"/>
    </row>
    <row r="1134">
      <c r="A1134" s="50"/>
      <c r="D1134" s="51"/>
      <c r="E1134" s="18">
        <v>12.0</v>
      </c>
      <c r="F1134" s="19">
        <v>58.0</v>
      </c>
      <c r="G1134" s="21"/>
      <c r="H1134" s="21"/>
      <c r="I1134" s="21"/>
      <c r="J1134" s="21"/>
      <c r="K1134" s="21"/>
      <c r="L1134" s="21"/>
      <c r="M1134" s="21"/>
      <c r="N1134" s="21"/>
      <c r="O1134" s="21"/>
      <c r="P1134" s="21"/>
      <c r="Q1134" s="21"/>
      <c r="R1134" s="21"/>
      <c r="S1134" s="21"/>
      <c r="T1134" s="19">
        <v>691.0</v>
      </c>
      <c r="U1134" s="21"/>
      <c r="V1134" s="21"/>
      <c r="W1134" s="21"/>
      <c r="X1134" s="21"/>
      <c r="Y1134" s="21"/>
      <c r="Z1134" s="21"/>
      <c r="AA1134" s="21"/>
      <c r="AB1134" s="21"/>
      <c r="AC1134" s="21"/>
      <c r="AD1134" s="21"/>
      <c r="AE1134" s="21"/>
      <c r="AF1134" s="21"/>
      <c r="AG1134" s="21"/>
      <c r="AH1134" s="21"/>
      <c r="AI1134" s="21"/>
      <c r="AJ1134" s="21"/>
      <c r="AK1134" s="21"/>
      <c r="AL1134" s="21"/>
      <c r="AM1134" s="21"/>
      <c r="AN1134" s="21"/>
      <c r="AO1134" s="21"/>
      <c r="AP1134" s="21"/>
      <c r="AQ1134" s="21"/>
      <c r="AR1134" s="21"/>
      <c r="AS1134" s="21"/>
      <c r="AT1134" s="21"/>
      <c r="AU1134" s="21"/>
      <c r="AV1134" s="21"/>
      <c r="AW1134" s="21"/>
      <c r="AX1134" s="21"/>
      <c r="AY1134" s="21"/>
      <c r="AZ1134" s="21"/>
      <c r="BA1134" s="21"/>
      <c r="BB1134" s="21"/>
      <c r="BC1134" s="21"/>
      <c r="BD1134" s="21"/>
      <c r="BE1134" s="21"/>
      <c r="BF1134" s="21"/>
      <c r="BG1134" s="21"/>
      <c r="BH1134" s="21"/>
      <c r="BI1134" s="21"/>
      <c r="BJ1134" s="21"/>
      <c r="BK1134" s="10"/>
    </row>
    <row r="1135">
      <c r="A1135" s="52"/>
      <c r="B1135" s="53"/>
      <c r="C1135" s="53"/>
      <c r="D1135" s="54"/>
      <c r="E1135" s="18">
        <v>13.0</v>
      </c>
      <c r="F1135" s="19">
        <v>64.0</v>
      </c>
      <c r="G1135" s="22"/>
      <c r="H1135" s="22"/>
      <c r="I1135" s="22"/>
      <c r="J1135" s="22"/>
      <c r="K1135" s="22"/>
      <c r="L1135" s="22"/>
      <c r="M1135" s="22"/>
      <c r="N1135" s="22"/>
      <c r="O1135" s="22"/>
      <c r="P1135" s="22"/>
      <c r="Q1135" s="22"/>
      <c r="R1135" s="22"/>
      <c r="S1135" s="22"/>
      <c r="T1135" s="19">
        <v>759.0</v>
      </c>
      <c r="U1135" s="22"/>
      <c r="V1135" s="22"/>
      <c r="W1135" s="22"/>
      <c r="X1135" s="22"/>
      <c r="Y1135" s="22"/>
      <c r="Z1135" s="22"/>
      <c r="AA1135" s="22"/>
      <c r="AB1135" s="22"/>
      <c r="AC1135" s="22"/>
      <c r="AD1135" s="22"/>
      <c r="AE1135" s="22"/>
      <c r="AF1135" s="22"/>
      <c r="AG1135" s="22"/>
      <c r="AH1135" s="22"/>
      <c r="AI1135" s="22"/>
      <c r="AJ1135" s="22"/>
      <c r="AK1135" s="22"/>
      <c r="AL1135" s="22"/>
      <c r="AM1135" s="22"/>
      <c r="AN1135" s="22"/>
      <c r="AO1135" s="22"/>
      <c r="AP1135" s="22"/>
      <c r="AQ1135" s="22"/>
      <c r="AR1135" s="22"/>
      <c r="AS1135" s="22"/>
      <c r="AT1135" s="22"/>
      <c r="AU1135" s="22"/>
      <c r="AV1135" s="22"/>
      <c r="AW1135" s="22"/>
      <c r="AX1135" s="22"/>
      <c r="AY1135" s="22"/>
      <c r="AZ1135" s="22"/>
      <c r="BA1135" s="22"/>
      <c r="BB1135" s="22"/>
      <c r="BC1135" s="22"/>
      <c r="BD1135" s="22"/>
      <c r="BE1135" s="22"/>
      <c r="BF1135" s="22"/>
      <c r="BG1135" s="22"/>
      <c r="BH1135" s="22"/>
      <c r="BI1135" s="22"/>
      <c r="BJ1135" s="22"/>
      <c r="BK1135" s="10"/>
    </row>
    <row r="1136">
      <c r="A1136" s="10"/>
      <c r="B1136" s="10"/>
      <c r="C1136" s="10"/>
      <c r="D1136" s="10"/>
      <c r="E1136" s="55"/>
      <c r="F1136" s="10"/>
      <c r="G1136" s="10"/>
      <c r="H1136" s="10"/>
      <c r="I1136" s="10"/>
      <c r="J1136" s="10"/>
      <c r="K1136" s="10"/>
      <c r="L1136" s="10"/>
      <c r="M1136" s="10"/>
      <c r="N1136" s="10"/>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c r="AK1136" s="10"/>
      <c r="AL1136" s="10"/>
      <c r="AM1136" s="10"/>
      <c r="AN1136" s="10"/>
      <c r="AO1136" s="10"/>
      <c r="AP1136" s="10"/>
      <c r="AQ1136" s="10"/>
      <c r="AR1136" s="10"/>
      <c r="AS1136" s="10"/>
      <c r="AT1136" s="10"/>
      <c r="AU1136" s="10"/>
      <c r="AV1136" s="10"/>
      <c r="AW1136" s="10"/>
      <c r="AX1136" s="10"/>
      <c r="AY1136" s="10"/>
      <c r="AZ1136" s="10"/>
      <c r="BA1136" s="10"/>
      <c r="BB1136" s="10"/>
      <c r="BC1136" s="10"/>
      <c r="BD1136" s="10"/>
      <c r="BE1136" s="10"/>
      <c r="BF1136" s="10"/>
      <c r="BG1136" s="10"/>
      <c r="BH1136" s="10"/>
      <c r="BI1136" s="10"/>
      <c r="BJ1136" s="10"/>
      <c r="BK1136" s="10"/>
    </row>
  </sheetData>
  <mergeCells count="6679">
    <mergeCell ref="BD917:BD927"/>
    <mergeCell ref="BE917:BE927"/>
    <mergeCell ref="BF917:BF927"/>
    <mergeCell ref="BG917:BG927"/>
    <mergeCell ref="BH917:BH927"/>
    <mergeCell ref="BI917:BI927"/>
    <mergeCell ref="BJ917:BJ927"/>
    <mergeCell ref="A928:A935"/>
    <mergeCell ref="B928:B935"/>
    <mergeCell ref="C928:C935"/>
    <mergeCell ref="D928:D935"/>
    <mergeCell ref="F928:F935"/>
    <mergeCell ref="G928:G935"/>
    <mergeCell ref="H928:H935"/>
    <mergeCell ref="R917:R927"/>
    <mergeCell ref="S917:S927"/>
    <mergeCell ref="U917:U927"/>
    <mergeCell ref="V917:V927"/>
    <mergeCell ref="W917:W927"/>
    <mergeCell ref="Y917:Y927"/>
    <mergeCell ref="Z917:Z927"/>
    <mergeCell ref="AA917:AA927"/>
    <mergeCell ref="AB917:AB927"/>
    <mergeCell ref="AC917:AC927"/>
    <mergeCell ref="AD917:AD927"/>
    <mergeCell ref="AE917:AE927"/>
    <mergeCell ref="AF917:AF927"/>
    <mergeCell ref="AG917:AG927"/>
    <mergeCell ref="AH917:AH927"/>
    <mergeCell ref="AI917:AI927"/>
    <mergeCell ref="AJ917:AJ927"/>
    <mergeCell ref="AK917:AK927"/>
    <mergeCell ref="AL917:AL927"/>
    <mergeCell ref="AM917:AM927"/>
    <mergeCell ref="AN917:AN927"/>
    <mergeCell ref="AO917:AO927"/>
    <mergeCell ref="AQ917:AQ927"/>
    <mergeCell ref="AR917:AR927"/>
    <mergeCell ref="AS917:AS927"/>
    <mergeCell ref="AT917:AT927"/>
    <mergeCell ref="AU917:AU927"/>
    <mergeCell ref="AV917:AV927"/>
    <mergeCell ref="BC928:BC935"/>
    <mergeCell ref="BD928:BD935"/>
    <mergeCell ref="BE928:BE935"/>
    <mergeCell ref="BF928:BF935"/>
    <mergeCell ref="BG928:BG935"/>
    <mergeCell ref="BH928:BH935"/>
    <mergeCell ref="BI928:BI935"/>
    <mergeCell ref="BJ928:BJ935"/>
    <mergeCell ref="AW917:AW927"/>
    <mergeCell ref="AX917:AX927"/>
    <mergeCell ref="AY917:AY927"/>
    <mergeCell ref="AZ917:AZ927"/>
    <mergeCell ref="BA917:BA927"/>
    <mergeCell ref="BB917:BB927"/>
    <mergeCell ref="BC917:BC927"/>
    <mergeCell ref="P928:P935"/>
    <mergeCell ref="Q928:Q935"/>
    <mergeCell ref="I928:I935"/>
    <mergeCell ref="J928:J935"/>
    <mergeCell ref="K928:K935"/>
    <mergeCell ref="L928:L935"/>
    <mergeCell ref="M928:M935"/>
    <mergeCell ref="N928:N935"/>
    <mergeCell ref="O928:O935"/>
    <mergeCell ref="J936:J943"/>
    <mergeCell ref="K936:K943"/>
    <mergeCell ref="L936:L943"/>
    <mergeCell ref="M936:M943"/>
    <mergeCell ref="N936:N943"/>
    <mergeCell ref="O936:O943"/>
    <mergeCell ref="P936:P943"/>
    <mergeCell ref="R936:R943"/>
    <mergeCell ref="S936:S943"/>
    <mergeCell ref="U936:U943"/>
    <mergeCell ref="V936:V943"/>
    <mergeCell ref="W936:W943"/>
    <mergeCell ref="X936:X943"/>
    <mergeCell ref="Y936:Y943"/>
    <mergeCell ref="Z936:Z943"/>
    <mergeCell ref="AA936:AA943"/>
    <mergeCell ref="AB936:AB943"/>
    <mergeCell ref="AC936:AC943"/>
    <mergeCell ref="AD936:AD943"/>
    <mergeCell ref="AE936:AE943"/>
    <mergeCell ref="AF936:AF943"/>
    <mergeCell ref="AG936:AG943"/>
    <mergeCell ref="AH936:AH943"/>
    <mergeCell ref="AI936:AI943"/>
    <mergeCell ref="AJ936:AJ943"/>
    <mergeCell ref="AK936:AK943"/>
    <mergeCell ref="AL936:AL943"/>
    <mergeCell ref="AM936:AM943"/>
    <mergeCell ref="A936:A943"/>
    <mergeCell ref="B936:B943"/>
    <mergeCell ref="C936:C943"/>
    <mergeCell ref="D936:D943"/>
    <mergeCell ref="F936:F943"/>
    <mergeCell ref="H936:H943"/>
    <mergeCell ref="I936:I943"/>
    <mergeCell ref="J917:J927"/>
    <mergeCell ref="K917:K927"/>
    <mergeCell ref="L917:L927"/>
    <mergeCell ref="M917:M927"/>
    <mergeCell ref="N917:N927"/>
    <mergeCell ref="O917:O927"/>
    <mergeCell ref="P917:P927"/>
    <mergeCell ref="A917:A927"/>
    <mergeCell ref="B917:B927"/>
    <mergeCell ref="C917:C927"/>
    <mergeCell ref="D917:D927"/>
    <mergeCell ref="G917:G927"/>
    <mergeCell ref="H917:H927"/>
    <mergeCell ref="I917:I927"/>
    <mergeCell ref="Y928:Y935"/>
    <mergeCell ref="Z928:Z935"/>
    <mergeCell ref="R928:R935"/>
    <mergeCell ref="S928:S935"/>
    <mergeCell ref="T928:T935"/>
    <mergeCell ref="U928:U935"/>
    <mergeCell ref="V928:V935"/>
    <mergeCell ref="W928:W935"/>
    <mergeCell ref="X928:X935"/>
    <mergeCell ref="AH928:AH935"/>
    <mergeCell ref="AI928:AI935"/>
    <mergeCell ref="AA928:AA935"/>
    <mergeCell ref="AB928:AB935"/>
    <mergeCell ref="AC928:AC935"/>
    <mergeCell ref="AD928:AD935"/>
    <mergeCell ref="AE928:AE935"/>
    <mergeCell ref="AF928:AF935"/>
    <mergeCell ref="AG928:AG935"/>
    <mergeCell ref="AQ928:AQ935"/>
    <mergeCell ref="AS928:AS935"/>
    <mergeCell ref="AJ928:AJ935"/>
    <mergeCell ref="AK928:AK935"/>
    <mergeCell ref="AL928:AL935"/>
    <mergeCell ref="AM928:AM935"/>
    <mergeCell ref="AN928:AN935"/>
    <mergeCell ref="AO928:AO935"/>
    <mergeCell ref="AP928:AP935"/>
    <mergeCell ref="BA928:BA935"/>
    <mergeCell ref="BB928:BB935"/>
    <mergeCell ref="AT928:AT935"/>
    <mergeCell ref="AU928:AU935"/>
    <mergeCell ref="AV928:AV935"/>
    <mergeCell ref="AW928:AW935"/>
    <mergeCell ref="AX928:AX935"/>
    <mergeCell ref="AY928:AY935"/>
    <mergeCell ref="AZ928:AZ935"/>
    <mergeCell ref="AN936:AN943"/>
    <mergeCell ref="AO936:AO943"/>
    <mergeCell ref="AP936:AP943"/>
    <mergeCell ref="AQ936:AQ943"/>
    <mergeCell ref="AR936:AR943"/>
    <mergeCell ref="AS936:AS943"/>
    <mergeCell ref="AT936:AT943"/>
    <mergeCell ref="AU936:AU943"/>
    <mergeCell ref="AV936:AV943"/>
    <mergeCell ref="AW936:AW943"/>
    <mergeCell ref="AX936:AX943"/>
    <mergeCell ref="AY936:AY943"/>
    <mergeCell ref="AZ936:AZ943"/>
    <mergeCell ref="BA936:BA943"/>
    <mergeCell ref="BI936:BI943"/>
    <mergeCell ref="BJ936:BJ943"/>
    <mergeCell ref="BB936:BB943"/>
    <mergeCell ref="BC936:BC943"/>
    <mergeCell ref="BD936:BD943"/>
    <mergeCell ref="BE936:BE943"/>
    <mergeCell ref="BF936:BF943"/>
    <mergeCell ref="BG936:BG943"/>
    <mergeCell ref="BH936:BH943"/>
    <mergeCell ref="J944:J948"/>
    <mergeCell ref="K944:K948"/>
    <mergeCell ref="L944:L948"/>
    <mergeCell ref="M944:M948"/>
    <mergeCell ref="N944:N948"/>
    <mergeCell ref="O944:O948"/>
    <mergeCell ref="P944:P948"/>
    <mergeCell ref="A944:A948"/>
    <mergeCell ref="B944:B948"/>
    <mergeCell ref="C944:C948"/>
    <mergeCell ref="D944:D948"/>
    <mergeCell ref="G944:G948"/>
    <mergeCell ref="H944:H948"/>
    <mergeCell ref="I944:I948"/>
    <mergeCell ref="S793:S803"/>
    <mergeCell ref="U793:U803"/>
    <mergeCell ref="V793:V803"/>
    <mergeCell ref="W793:W803"/>
    <mergeCell ref="X793:X803"/>
    <mergeCell ref="Y793:Y803"/>
    <mergeCell ref="Z793:Z803"/>
    <mergeCell ref="AV793:AV803"/>
    <mergeCell ref="AW793:AW803"/>
    <mergeCell ref="AX793:AX803"/>
    <mergeCell ref="AY793:AY803"/>
    <mergeCell ref="AZ793:AZ803"/>
    <mergeCell ref="BA793:BA803"/>
    <mergeCell ref="BB793:BB803"/>
    <mergeCell ref="A804:A811"/>
    <mergeCell ref="B804:B811"/>
    <mergeCell ref="C804:C811"/>
    <mergeCell ref="D804:D811"/>
    <mergeCell ref="F804:F811"/>
    <mergeCell ref="G804:G811"/>
    <mergeCell ref="H804:H811"/>
    <mergeCell ref="AA793:AA803"/>
    <mergeCell ref="AB793:AB803"/>
    <mergeCell ref="AC793:AC803"/>
    <mergeCell ref="AD793:AD803"/>
    <mergeCell ref="AE793:AE803"/>
    <mergeCell ref="AF793:AF803"/>
    <mergeCell ref="AG793:AG803"/>
    <mergeCell ref="AH793:AH803"/>
    <mergeCell ref="AI793:AI803"/>
    <mergeCell ref="AJ793:AJ803"/>
    <mergeCell ref="AK793:AK803"/>
    <mergeCell ref="AL793:AL803"/>
    <mergeCell ref="AM793:AM803"/>
    <mergeCell ref="AN793:AN803"/>
    <mergeCell ref="AO793:AO803"/>
    <mergeCell ref="AP793:AP803"/>
    <mergeCell ref="AQ793:AQ803"/>
    <mergeCell ref="AR793:AR803"/>
    <mergeCell ref="AS793:AS803"/>
    <mergeCell ref="AT793:AT803"/>
    <mergeCell ref="AU793:AU803"/>
    <mergeCell ref="BF793:BF803"/>
    <mergeCell ref="BF804:BF811"/>
    <mergeCell ref="BG804:BG811"/>
    <mergeCell ref="BH804:BH811"/>
    <mergeCell ref="BI804:BI811"/>
    <mergeCell ref="BJ804:BJ811"/>
    <mergeCell ref="BC793:BC803"/>
    <mergeCell ref="BD793:BD803"/>
    <mergeCell ref="BE793:BE803"/>
    <mergeCell ref="BG793:BG803"/>
    <mergeCell ref="BH793:BH803"/>
    <mergeCell ref="BI793:BI803"/>
    <mergeCell ref="BJ793:BJ803"/>
    <mergeCell ref="P804:P811"/>
    <mergeCell ref="Q804:Q811"/>
    <mergeCell ref="I804:I811"/>
    <mergeCell ref="J804:J811"/>
    <mergeCell ref="K804:K811"/>
    <mergeCell ref="L804:L811"/>
    <mergeCell ref="M804:M811"/>
    <mergeCell ref="N804:N811"/>
    <mergeCell ref="O804:O811"/>
    <mergeCell ref="J812:J819"/>
    <mergeCell ref="K812:K819"/>
    <mergeCell ref="L812:L819"/>
    <mergeCell ref="M812:M819"/>
    <mergeCell ref="N812:N819"/>
    <mergeCell ref="O812:O819"/>
    <mergeCell ref="P812:P819"/>
    <mergeCell ref="R812:R819"/>
    <mergeCell ref="S812:S819"/>
    <mergeCell ref="V812:V819"/>
    <mergeCell ref="W812:W819"/>
    <mergeCell ref="X812:X819"/>
    <mergeCell ref="Y812:Y819"/>
    <mergeCell ref="Z812:Z819"/>
    <mergeCell ref="AA812:AA819"/>
    <mergeCell ref="AB812:AB819"/>
    <mergeCell ref="AC812:AC819"/>
    <mergeCell ref="AD812:AD819"/>
    <mergeCell ref="AE812:AE819"/>
    <mergeCell ref="AF812:AF819"/>
    <mergeCell ref="AG812:AG819"/>
    <mergeCell ref="AH812:AH819"/>
    <mergeCell ref="AI812:AI819"/>
    <mergeCell ref="AJ812:AJ819"/>
    <mergeCell ref="AK812:AK819"/>
    <mergeCell ref="AL812:AL819"/>
    <mergeCell ref="AM812:AM819"/>
    <mergeCell ref="AN812:AN819"/>
    <mergeCell ref="A812:A819"/>
    <mergeCell ref="B812:B819"/>
    <mergeCell ref="C812:C819"/>
    <mergeCell ref="D812:D819"/>
    <mergeCell ref="G812:G819"/>
    <mergeCell ref="H812:H819"/>
    <mergeCell ref="I812:I819"/>
    <mergeCell ref="BG820:BG824"/>
    <mergeCell ref="BH820:BH824"/>
    <mergeCell ref="BI820:BI824"/>
    <mergeCell ref="BJ820:BJ824"/>
    <mergeCell ref="AZ820:AZ824"/>
    <mergeCell ref="BA820:BA824"/>
    <mergeCell ref="BB820:BB824"/>
    <mergeCell ref="BC820:BC824"/>
    <mergeCell ref="BD820:BD824"/>
    <mergeCell ref="BE820:BE824"/>
    <mergeCell ref="BF820:BF824"/>
    <mergeCell ref="I820:I824"/>
    <mergeCell ref="J820:J824"/>
    <mergeCell ref="K820:K824"/>
    <mergeCell ref="L820:L824"/>
    <mergeCell ref="M820:M824"/>
    <mergeCell ref="N820:N824"/>
    <mergeCell ref="O820:O824"/>
    <mergeCell ref="P820:P824"/>
    <mergeCell ref="Q820:Q824"/>
    <mergeCell ref="R820:R824"/>
    <mergeCell ref="S820:S824"/>
    <mergeCell ref="T820:T824"/>
    <mergeCell ref="U820:U824"/>
    <mergeCell ref="V820:V824"/>
    <mergeCell ref="W820:W824"/>
    <mergeCell ref="Y820:Y824"/>
    <mergeCell ref="Z820:Z824"/>
    <mergeCell ref="AA820:AA824"/>
    <mergeCell ref="AB820:AB824"/>
    <mergeCell ref="AC820:AC824"/>
    <mergeCell ref="AD820:AD824"/>
    <mergeCell ref="AE820:AE824"/>
    <mergeCell ref="AF820:AF824"/>
    <mergeCell ref="AG820:AG824"/>
    <mergeCell ref="AH820:AH824"/>
    <mergeCell ref="AI820:AI824"/>
    <mergeCell ref="AJ820:AJ824"/>
    <mergeCell ref="AK820:AK824"/>
    <mergeCell ref="AL820:AL824"/>
    <mergeCell ref="AM820:AM824"/>
    <mergeCell ref="AN820:AN824"/>
    <mergeCell ref="AO820:AO824"/>
    <mergeCell ref="AP820:AP824"/>
    <mergeCell ref="AQ820:AQ824"/>
    <mergeCell ref="AR820:AR824"/>
    <mergeCell ref="AS820:AS824"/>
    <mergeCell ref="AT820:AT824"/>
    <mergeCell ref="AU820:AU824"/>
    <mergeCell ref="AV820:AV824"/>
    <mergeCell ref="AW820:AW824"/>
    <mergeCell ref="AX820:AX824"/>
    <mergeCell ref="AY820:AY824"/>
    <mergeCell ref="A820:A824"/>
    <mergeCell ref="B820:B824"/>
    <mergeCell ref="C820:C824"/>
    <mergeCell ref="D820:D824"/>
    <mergeCell ref="F820:F824"/>
    <mergeCell ref="G820:G824"/>
    <mergeCell ref="H820:H824"/>
    <mergeCell ref="Y804:Y811"/>
    <mergeCell ref="Z804:Z811"/>
    <mergeCell ref="R804:R811"/>
    <mergeCell ref="S804:S811"/>
    <mergeCell ref="T804:T811"/>
    <mergeCell ref="U804:U811"/>
    <mergeCell ref="V804:V811"/>
    <mergeCell ref="W804:W811"/>
    <mergeCell ref="X804:X811"/>
    <mergeCell ref="AQ804:AQ811"/>
    <mergeCell ref="AR804:AR811"/>
    <mergeCell ref="AJ804:AJ811"/>
    <mergeCell ref="AK804:AK811"/>
    <mergeCell ref="AL804:AL811"/>
    <mergeCell ref="AM804:AM811"/>
    <mergeCell ref="AN804:AN811"/>
    <mergeCell ref="AO804:AO811"/>
    <mergeCell ref="AP804:AP811"/>
    <mergeCell ref="BD804:BD811"/>
    <mergeCell ref="BE804:BE811"/>
    <mergeCell ref="AS804:AS811"/>
    <mergeCell ref="AT804:AT811"/>
    <mergeCell ref="AU804:AU811"/>
    <mergeCell ref="AV804:AV811"/>
    <mergeCell ref="AW804:AW811"/>
    <mergeCell ref="AX804:AX811"/>
    <mergeCell ref="AY804:AY811"/>
    <mergeCell ref="AO812:AO819"/>
    <mergeCell ref="AP812:AP819"/>
    <mergeCell ref="AQ812:AQ819"/>
    <mergeCell ref="AR812:AR819"/>
    <mergeCell ref="AS812:AS819"/>
    <mergeCell ref="AT812:AT819"/>
    <mergeCell ref="AU812:AU819"/>
    <mergeCell ref="BC812:BC819"/>
    <mergeCell ref="BD812:BD819"/>
    <mergeCell ref="BE812:BE819"/>
    <mergeCell ref="BF812:BF819"/>
    <mergeCell ref="BG812:BG819"/>
    <mergeCell ref="BH812:BH819"/>
    <mergeCell ref="BI812:BI819"/>
    <mergeCell ref="BJ812:BJ819"/>
    <mergeCell ref="AV812:AV819"/>
    <mergeCell ref="AW812:AW819"/>
    <mergeCell ref="AX812:AX819"/>
    <mergeCell ref="AY812:AY819"/>
    <mergeCell ref="AZ812:AZ819"/>
    <mergeCell ref="BA812:BA819"/>
    <mergeCell ref="BB812:BB819"/>
    <mergeCell ref="BI825:BI829"/>
    <mergeCell ref="BJ825:BJ829"/>
    <mergeCell ref="BB825:BB829"/>
    <mergeCell ref="BC825:BC829"/>
    <mergeCell ref="BD825:BD829"/>
    <mergeCell ref="BE825:BE829"/>
    <mergeCell ref="BF825:BF829"/>
    <mergeCell ref="BG825:BG829"/>
    <mergeCell ref="BH825:BH829"/>
    <mergeCell ref="A825:A829"/>
    <mergeCell ref="B825:B829"/>
    <mergeCell ref="C825:C829"/>
    <mergeCell ref="D825:D829"/>
    <mergeCell ref="F825:F829"/>
    <mergeCell ref="H825:H829"/>
    <mergeCell ref="I825:I829"/>
    <mergeCell ref="B830:E830"/>
    <mergeCell ref="J825:J829"/>
    <mergeCell ref="K825:K829"/>
    <mergeCell ref="L825:L829"/>
    <mergeCell ref="M825:M829"/>
    <mergeCell ref="N825:N829"/>
    <mergeCell ref="O825:O829"/>
    <mergeCell ref="P825:P829"/>
    <mergeCell ref="R825:R829"/>
    <mergeCell ref="S825:S829"/>
    <mergeCell ref="U825:U829"/>
    <mergeCell ref="V825:V829"/>
    <mergeCell ref="W825:W829"/>
    <mergeCell ref="X825:X829"/>
    <mergeCell ref="Y825:Y829"/>
    <mergeCell ref="F830:BJ830"/>
    <mergeCell ref="Z825:Z829"/>
    <mergeCell ref="AA825:AA829"/>
    <mergeCell ref="AB825:AB829"/>
    <mergeCell ref="AC825:AC829"/>
    <mergeCell ref="AD825:AD829"/>
    <mergeCell ref="AE825:AE829"/>
    <mergeCell ref="AF825:AF829"/>
    <mergeCell ref="AG825:AG829"/>
    <mergeCell ref="AH825:AH829"/>
    <mergeCell ref="AI825:AI829"/>
    <mergeCell ref="AJ825:AJ829"/>
    <mergeCell ref="AK825:AK829"/>
    <mergeCell ref="AL825:AL829"/>
    <mergeCell ref="AM825:AM829"/>
    <mergeCell ref="AN825:AN829"/>
    <mergeCell ref="AO825:AO829"/>
    <mergeCell ref="AP825:AP829"/>
    <mergeCell ref="AQ825:AQ829"/>
    <mergeCell ref="AR825:AR829"/>
    <mergeCell ref="AS825:AS829"/>
    <mergeCell ref="AT825:AT829"/>
    <mergeCell ref="AU825:AU829"/>
    <mergeCell ref="AV825:AV829"/>
    <mergeCell ref="AW825:AW829"/>
    <mergeCell ref="AX825:AX829"/>
    <mergeCell ref="AY825:AY829"/>
    <mergeCell ref="AZ825:AZ829"/>
    <mergeCell ref="BA825:BA829"/>
    <mergeCell ref="AL831:AL843"/>
    <mergeCell ref="AM831:AM843"/>
    <mergeCell ref="AN831:AN843"/>
    <mergeCell ref="AO831:AO843"/>
    <mergeCell ref="AQ831:AQ843"/>
    <mergeCell ref="AR831:AR843"/>
    <mergeCell ref="AS831:AS843"/>
    <mergeCell ref="AT831:AT843"/>
    <mergeCell ref="AU831:AU843"/>
    <mergeCell ref="AV831:AV843"/>
    <mergeCell ref="AW831:AW843"/>
    <mergeCell ref="AX831:AX843"/>
    <mergeCell ref="AY831:AY843"/>
    <mergeCell ref="AZ831:AZ843"/>
    <mergeCell ref="BH831:BH843"/>
    <mergeCell ref="BI831:BI843"/>
    <mergeCell ref="BJ831:BJ843"/>
    <mergeCell ref="BA831:BA843"/>
    <mergeCell ref="BB831:BB843"/>
    <mergeCell ref="BC831:BC843"/>
    <mergeCell ref="BD831:BD843"/>
    <mergeCell ref="BE831:BE843"/>
    <mergeCell ref="BF831:BF843"/>
    <mergeCell ref="BG831:BG843"/>
    <mergeCell ref="J866:J873"/>
    <mergeCell ref="K866:K873"/>
    <mergeCell ref="L866:L873"/>
    <mergeCell ref="M866:M873"/>
    <mergeCell ref="O866:O873"/>
    <mergeCell ref="P866:P873"/>
    <mergeCell ref="Q866:Q873"/>
    <mergeCell ref="A866:A873"/>
    <mergeCell ref="B866:B873"/>
    <mergeCell ref="C866:C873"/>
    <mergeCell ref="D866:D873"/>
    <mergeCell ref="F866:F873"/>
    <mergeCell ref="G866:G873"/>
    <mergeCell ref="I866:I873"/>
    <mergeCell ref="AG874:AG881"/>
    <mergeCell ref="AH874:AH881"/>
    <mergeCell ref="Z874:Z881"/>
    <mergeCell ref="AA874:AA881"/>
    <mergeCell ref="AB874:AB881"/>
    <mergeCell ref="AC874:AC881"/>
    <mergeCell ref="AD874:AD881"/>
    <mergeCell ref="AE874:AE881"/>
    <mergeCell ref="AF874:AF881"/>
    <mergeCell ref="AP874:AP881"/>
    <mergeCell ref="AQ874:AQ881"/>
    <mergeCell ref="AI874:AI881"/>
    <mergeCell ref="AJ874:AJ881"/>
    <mergeCell ref="AK874:AK881"/>
    <mergeCell ref="AL874:AL881"/>
    <mergeCell ref="AM874:AM881"/>
    <mergeCell ref="AN874:AN881"/>
    <mergeCell ref="AO874:AO881"/>
    <mergeCell ref="AY874:AY881"/>
    <mergeCell ref="AZ874:AZ881"/>
    <mergeCell ref="AR874:AR881"/>
    <mergeCell ref="AS874:AS881"/>
    <mergeCell ref="AT874:AT881"/>
    <mergeCell ref="AU874:AU881"/>
    <mergeCell ref="AV874:AV881"/>
    <mergeCell ref="AW874:AW881"/>
    <mergeCell ref="AX874:AX881"/>
    <mergeCell ref="BH874:BH881"/>
    <mergeCell ref="BI874:BI881"/>
    <mergeCell ref="BA874:BA881"/>
    <mergeCell ref="BB874:BB881"/>
    <mergeCell ref="BC874:BC881"/>
    <mergeCell ref="BD874:BD881"/>
    <mergeCell ref="BE874:BE881"/>
    <mergeCell ref="BF874:BF881"/>
    <mergeCell ref="BG874:BG881"/>
    <mergeCell ref="R866:R873"/>
    <mergeCell ref="S866:S873"/>
    <mergeCell ref="U866:U873"/>
    <mergeCell ref="V866:V873"/>
    <mergeCell ref="W866:W873"/>
    <mergeCell ref="Y866:Y873"/>
    <mergeCell ref="Z866:Z873"/>
    <mergeCell ref="AA866:AA873"/>
    <mergeCell ref="AB866:AB873"/>
    <mergeCell ref="AC866:AC873"/>
    <mergeCell ref="AD866:AD873"/>
    <mergeCell ref="AE866:AE873"/>
    <mergeCell ref="AF866:AF873"/>
    <mergeCell ref="AG866:AG873"/>
    <mergeCell ref="R874:R881"/>
    <mergeCell ref="S874:S881"/>
    <mergeCell ref="U874:U881"/>
    <mergeCell ref="V874:V881"/>
    <mergeCell ref="W874:W881"/>
    <mergeCell ref="X874:X881"/>
    <mergeCell ref="Y874:Y881"/>
    <mergeCell ref="AH866:AH873"/>
    <mergeCell ref="AI866:AI873"/>
    <mergeCell ref="AJ866:AJ873"/>
    <mergeCell ref="AK866:AK873"/>
    <mergeCell ref="AL866:AL873"/>
    <mergeCell ref="AM866:AM873"/>
    <mergeCell ref="AN866:AN873"/>
    <mergeCell ref="AO866:AO873"/>
    <mergeCell ref="AP866:AP873"/>
    <mergeCell ref="AQ866:AQ873"/>
    <mergeCell ref="AR866:AR873"/>
    <mergeCell ref="AS866:AS873"/>
    <mergeCell ref="AT866:AT873"/>
    <mergeCell ref="AU866:AU873"/>
    <mergeCell ref="AV866:AV873"/>
    <mergeCell ref="AW866:AW873"/>
    <mergeCell ref="AX866:AX873"/>
    <mergeCell ref="AY866:AY873"/>
    <mergeCell ref="AZ866:AZ873"/>
    <mergeCell ref="BA866:BA873"/>
    <mergeCell ref="BB866:BB873"/>
    <mergeCell ref="BJ866:BJ873"/>
    <mergeCell ref="BJ874:BJ881"/>
    <mergeCell ref="BC866:BC873"/>
    <mergeCell ref="BD866:BD873"/>
    <mergeCell ref="BE866:BE873"/>
    <mergeCell ref="BF866:BF873"/>
    <mergeCell ref="BG866:BG873"/>
    <mergeCell ref="BH866:BH873"/>
    <mergeCell ref="BI866:BI873"/>
    <mergeCell ref="AH804:AH811"/>
    <mergeCell ref="AI804:AI811"/>
    <mergeCell ref="AA804:AA811"/>
    <mergeCell ref="AB804:AB811"/>
    <mergeCell ref="AC804:AC811"/>
    <mergeCell ref="AD804:AD811"/>
    <mergeCell ref="AE804:AE811"/>
    <mergeCell ref="AF804:AF811"/>
    <mergeCell ref="AG804:AG811"/>
    <mergeCell ref="J793:J803"/>
    <mergeCell ref="K793:K803"/>
    <mergeCell ref="M793:M803"/>
    <mergeCell ref="N793:N803"/>
    <mergeCell ref="O793:O803"/>
    <mergeCell ref="P793:P803"/>
    <mergeCell ref="R793:R803"/>
    <mergeCell ref="A793:A803"/>
    <mergeCell ref="B793:B803"/>
    <mergeCell ref="C793:C803"/>
    <mergeCell ref="D793:D803"/>
    <mergeCell ref="F793:F803"/>
    <mergeCell ref="H793:H803"/>
    <mergeCell ref="I793:I803"/>
    <mergeCell ref="I831:I843"/>
    <mergeCell ref="J831:J843"/>
    <mergeCell ref="K831:K843"/>
    <mergeCell ref="L831:L843"/>
    <mergeCell ref="M831:M843"/>
    <mergeCell ref="N831:N843"/>
    <mergeCell ref="O831:O843"/>
    <mergeCell ref="P831:P843"/>
    <mergeCell ref="Q831:Q843"/>
    <mergeCell ref="R831:R843"/>
    <mergeCell ref="S831:S843"/>
    <mergeCell ref="T831:T843"/>
    <mergeCell ref="U831:U843"/>
    <mergeCell ref="V831:V843"/>
    <mergeCell ref="W831:W843"/>
    <mergeCell ref="Y831:Y843"/>
    <mergeCell ref="Z831:Z843"/>
    <mergeCell ref="AA831:AA843"/>
    <mergeCell ref="AB831:AB843"/>
    <mergeCell ref="AC831:AC843"/>
    <mergeCell ref="AD831:AD843"/>
    <mergeCell ref="AE831:AE843"/>
    <mergeCell ref="AF831:AF843"/>
    <mergeCell ref="AG831:AG843"/>
    <mergeCell ref="AH831:AH843"/>
    <mergeCell ref="AI831:AI843"/>
    <mergeCell ref="AJ831:AJ843"/>
    <mergeCell ref="AK831:AK843"/>
    <mergeCell ref="A831:A843"/>
    <mergeCell ref="B831:B843"/>
    <mergeCell ref="C831:C843"/>
    <mergeCell ref="D831:D843"/>
    <mergeCell ref="F831:F843"/>
    <mergeCell ref="G831:G843"/>
    <mergeCell ref="H831:H843"/>
    <mergeCell ref="BI844:BI854"/>
    <mergeCell ref="BJ844:BJ854"/>
    <mergeCell ref="BB844:BB854"/>
    <mergeCell ref="BC844:BC854"/>
    <mergeCell ref="BD844:BD854"/>
    <mergeCell ref="BE844:BE854"/>
    <mergeCell ref="BF844:BF854"/>
    <mergeCell ref="BG844:BG854"/>
    <mergeCell ref="BH844:BH854"/>
    <mergeCell ref="J844:J854"/>
    <mergeCell ref="K844:K854"/>
    <mergeCell ref="L844:L854"/>
    <mergeCell ref="M844:M854"/>
    <mergeCell ref="N844:N854"/>
    <mergeCell ref="O844:O854"/>
    <mergeCell ref="P844:P854"/>
    <mergeCell ref="Q844:Q854"/>
    <mergeCell ref="R844:R854"/>
    <mergeCell ref="S844:S854"/>
    <mergeCell ref="U844:U854"/>
    <mergeCell ref="W844:W854"/>
    <mergeCell ref="X844:X854"/>
    <mergeCell ref="Y844:Y854"/>
    <mergeCell ref="Z844:Z854"/>
    <mergeCell ref="AA844:AA854"/>
    <mergeCell ref="AB844:AB854"/>
    <mergeCell ref="AC844:AC854"/>
    <mergeCell ref="AD844:AD854"/>
    <mergeCell ref="AE844:AE854"/>
    <mergeCell ref="AF844:AF854"/>
    <mergeCell ref="AG844:AG854"/>
    <mergeCell ref="AH844:AH854"/>
    <mergeCell ref="AI844:AI854"/>
    <mergeCell ref="AJ844:AJ854"/>
    <mergeCell ref="AK844:AK854"/>
    <mergeCell ref="AL844:AL854"/>
    <mergeCell ref="AM844:AM854"/>
    <mergeCell ref="AN844:AN854"/>
    <mergeCell ref="AO844:AO854"/>
    <mergeCell ref="AP844:AP854"/>
    <mergeCell ref="AQ844:AQ854"/>
    <mergeCell ref="AR844:AR854"/>
    <mergeCell ref="AS844:AS854"/>
    <mergeCell ref="AT844:AT854"/>
    <mergeCell ref="AU844:AU854"/>
    <mergeCell ref="AV844:AV854"/>
    <mergeCell ref="AW844:AW854"/>
    <mergeCell ref="AX844:AX854"/>
    <mergeCell ref="AY844:AY854"/>
    <mergeCell ref="AZ844:AZ854"/>
    <mergeCell ref="BA844:BA854"/>
    <mergeCell ref="A844:A854"/>
    <mergeCell ref="B844:B854"/>
    <mergeCell ref="C844:C854"/>
    <mergeCell ref="D844:D854"/>
    <mergeCell ref="F844:F854"/>
    <mergeCell ref="H844:H854"/>
    <mergeCell ref="I844:I854"/>
    <mergeCell ref="BG855:BG865"/>
    <mergeCell ref="BH855:BH865"/>
    <mergeCell ref="BI855:BI865"/>
    <mergeCell ref="BJ855:BJ865"/>
    <mergeCell ref="AZ855:AZ865"/>
    <mergeCell ref="BA855:BA865"/>
    <mergeCell ref="BB855:BB865"/>
    <mergeCell ref="BC855:BC865"/>
    <mergeCell ref="BD855:BD865"/>
    <mergeCell ref="BE855:BE865"/>
    <mergeCell ref="BF855:BF865"/>
    <mergeCell ref="I855:I865"/>
    <mergeCell ref="J855:J865"/>
    <mergeCell ref="K855:K865"/>
    <mergeCell ref="L855:L865"/>
    <mergeCell ref="M855:M865"/>
    <mergeCell ref="N855:N865"/>
    <mergeCell ref="O855:O865"/>
    <mergeCell ref="P855:P865"/>
    <mergeCell ref="Q855:Q865"/>
    <mergeCell ref="R855:R865"/>
    <mergeCell ref="S855:S865"/>
    <mergeCell ref="U855:U865"/>
    <mergeCell ref="V855:V865"/>
    <mergeCell ref="W855:W865"/>
    <mergeCell ref="X855:X865"/>
    <mergeCell ref="Y855:Y865"/>
    <mergeCell ref="Z855:Z865"/>
    <mergeCell ref="AA855:AA865"/>
    <mergeCell ref="AB855:AB865"/>
    <mergeCell ref="AC855:AC865"/>
    <mergeCell ref="AD855:AD865"/>
    <mergeCell ref="AE855:AE865"/>
    <mergeCell ref="AF855:AF865"/>
    <mergeCell ref="AG855:AG865"/>
    <mergeCell ref="AH855:AH865"/>
    <mergeCell ref="AI855:AI865"/>
    <mergeCell ref="AJ855:AJ865"/>
    <mergeCell ref="AK855:AK865"/>
    <mergeCell ref="AL855:AL865"/>
    <mergeCell ref="AM855:AM865"/>
    <mergeCell ref="AN855:AN865"/>
    <mergeCell ref="AO855:AO865"/>
    <mergeCell ref="AP855:AP865"/>
    <mergeCell ref="AQ855:AQ865"/>
    <mergeCell ref="AR855:AR865"/>
    <mergeCell ref="AS855:AS865"/>
    <mergeCell ref="AT855:AT865"/>
    <mergeCell ref="AU855:AU865"/>
    <mergeCell ref="AV855:AV865"/>
    <mergeCell ref="AW855:AW865"/>
    <mergeCell ref="AX855:AX865"/>
    <mergeCell ref="AY855:AY865"/>
    <mergeCell ref="A855:A865"/>
    <mergeCell ref="B855:B865"/>
    <mergeCell ref="C855:C865"/>
    <mergeCell ref="D855:D865"/>
    <mergeCell ref="F855:F865"/>
    <mergeCell ref="G855:G865"/>
    <mergeCell ref="H855:H865"/>
    <mergeCell ref="AN882:AN886"/>
    <mergeCell ref="AO882:AO886"/>
    <mergeCell ref="AP882:AP886"/>
    <mergeCell ref="AQ882:AQ886"/>
    <mergeCell ref="AR882:AR886"/>
    <mergeCell ref="AS882:AS886"/>
    <mergeCell ref="AT882:AT886"/>
    <mergeCell ref="AU882:AU886"/>
    <mergeCell ref="AV882:AV886"/>
    <mergeCell ref="AW882:AW886"/>
    <mergeCell ref="AX882:AX886"/>
    <mergeCell ref="AY882:AY886"/>
    <mergeCell ref="AZ882:AZ886"/>
    <mergeCell ref="BA882:BA886"/>
    <mergeCell ref="BI882:BI886"/>
    <mergeCell ref="BJ882:BJ886"/>
    <mergeCell ref="BB882:BB886"/>
    <mergeCell ref="BC882:BC886"/>
    <mergeCell ref="BD882:BD886"/>
    <mergeCell ref="BE882:BE886"/>
    <mergeCell ref="BF882:BF886"/>
    <mergeCell ref="BG882:BG886"/>
    <mergeCell ref="BH882:BH886"/>
    <mergeCell ref="AA887:AA891"/>
    <mergeCell ref="AB887:AB891"/>
    <mergeCell ref="S887:S891"/>
    <mergeCell ref="U887:U891"/>
    <mergeCell ref="V887:V891"/>
    <mergeCell ref="W887:W891"/>
    <mergeCell ref="X887:X891"/>
    <mergeCell ref="Y887:Y891"/>
    <mergeCell ref="Z887:Z891"/>
    <mergeCell ref="AC887:AC891"/>
    <mergeCell ref="AD887:AD891"/>
    <mergeCell ref="AE887:AE891"/>
    <mergeCell ref="AF887:AF891"/>
    <mergeCell ref="AG887:AG891"/>
    <mergeCell ref="AH887:AH891"/>
    <mergeCell ref="AI887:AI891"/>
    <mergeCell ref="AJ887:AJ891"/>
    <mergeCell ref="AK887:AK891"/>
    <mergeCell ref="AN887:AN891"/>
    <mergeCell ref="AO887:AO891"/>
    <mergeCell ref="AP887:AP891"/>
    <mergeCell ref="AQ887:AQ891"/>
    <mergeCell ref="AR887:AR891"/>
    <mergeCell ref="F892:BJ892"/>
    <mergeCell ref="AS887:AS891"/>
    <mergeCell ref="AT887:AT891"/>
    <mergeCell ref="AU887:AU891"/>
    <mergeCell ref="AV887:AV891"/>
    <mergeCell ref="AW887:AW891"/>
    <mergeCell ref="AX887:AX891"/>
    <mergeCell ref="AY887:AY891"/>
    <mergeCell ref="BG887:BG891"/>
    <mergeCell ref="BH887:BH891"/>
    <mergeCell ref="BI887:BI891"/>
    <mergeCell ref="BJ887:BJ891"/>
    <mergeCell ref="AZ887:AZ891"/>
    <mergeCell ref="BA887:BA891"/>
    <mergeCell ref="BB887:BB891"/>
    <mergeCell ref="BC887:BC891"/>
    <mergeCell ref="BD887:BD891"/>
    <mergeCell ref="BE887:BE891"/>
    <mergeCell ref="BF887:BF891"/>
    <mergeCell ref="J874:J881"/>
    <mergeCell ref="K874:K881"/>
    <mergeCell ref="L874:L881"/>
    <mergeCell ref="M874:M881"/>
    <mergeCell ref="N874:N881"/>
    <mergeCell ref="O874:O881"/>
    <mergeCell ref="P874:P881"/>
    <mergeCell ref="A874:A881"/>
    <mergeCell ref="B874:B881"/>
    <mergeCell ref="C874:C881"/>
    <mergeCell ref="D874:D881"/>
    <mergeCell ref="F874:F881"/>
    <mergeCell ref="H874:H881"/>
    <mergeCell ref="I874:I881"/>
    <mergeCell ref="J882:J886"/>
    <mergeCell ref="K882:K886"/>
    <mergeCell ref="L882:L886"/>
    <mergeCell ref="M882:M886"/>
    <mergeCell ref="N882:N886"/>
    <mergeCell ref="O882:O886"/>
    <mergeCell ref="P882:P886"/>
    <mergeCell ref="R882:R886"/>
    <mergeCell ref="S882:S886"/>
    <mergeCell ref="U882:U886"/>
    <mergeCell ref="V882:V886"/>
    <mergeCell ref="W882:W886"/>
    <mergeCell ref="X882:X886"/>
    <mergeCell ref="Y882:Y886"/>
    <mergeCell ref="K887:K891"/>
    <mergeCell ref="L887:L891"/>
    <mergeCell ref="M887:M891"/>
    <mergeCell ref="N887:N891"/>
    <mergeCell ref="O887:O891"/>
    <mergeCell ref="P887:P891"/>
    <mergeCell ref="R887:R891"/>
    <mergeCell ref="Z882:Z886"/>
    <mergeCell ref="AA882:AA886"/>
    <mergeCell ref="AB882:AB886"/>
    <mergeCell ref="AC882:AC886"/>
    <mergeCell ref="AD882:AD886"/>
    <mergeCell ref="AE882:AE886"/>
    <mergeCell ref="AF882:AF886"/>
    <mergeCell ref="AL887:AL891"/>
    <mergeCell ref="AM887:AM891"/>
    <mergeCell ref="AG882:AG886"/>
    <mergeCell ref="AH882:AH886"/>
    <mergeCell ref="AI882:AI886"/>
    <mergeCell ref="AJ882:AJ886"/>
    <mergeCell ref="AK882:AK886"/>
    <mergeCell ref="AL882:AL886"/>
    <mergeCell ref="AM882:AM886"/>
    <mergeCell ref="AM893:AM905"/>
    <mergeCell ref="AN893:AN905"/>
    <mergeCell ref="AO893:AO905"/>
    <mergeCell ref="AP893:AP905"/>
    <mergeCell ref="AQ893:AQ905"/>
    <mergeCell ref="AR893:AR905"/>
    <mergeCell ref="AS893:AS905"/>
    <mergeCell ref="AT893:AT905"/>
    <mergeCell ref="AU893:AU905"/>
    <mergeCell ref="AV893:AV905"/>
    <mergeCell ref="AW893:AW905"/>
    <mergeCell ref="AX893:AX905"/>
    <mergeCell ref="AY893:AY905"/>
    <mergeCell ref="AZ893:AZ905"/>
    <mergeCell ref="BH893:BH905"/>
    <mergeCell ref="BI893:BI905"/>
    <mergeCell ref="BJ893:BJ905"/>
    <mergeCell ref="BA893:BA905"/>
    <mergeCell ref="BB893:BB905"/>
    <mergeCell ref="BC893:BC905"/>
    <mergeCell ref="BD893:BD905"/>
    <mergeCell ref="BE893:BE905"/>
    <mergeCell ref="BF893:BF905"/>
    <mergeCell ref="BG893:BG905"/>
    <mergeCell ref="A882:A886"/>
    <mergeCell ref="B882:B886"/>
    <mergeCell ref="C882:C886"/>
    <mergeCell ref="D882:D886"/>
    <mergeCell ref="F882:F886"/>
    <mergeCell ref="H882:H886"/>
    <mergeCell ref="I882:I886"/>
    <mergeCell ref="B887:B891"/>
    <mergeCell ref="C887:C891"/>
    <mergeCell ref="D887:D891"/>
    <mergeCell ref="G887:G891"/>
    <mergeCell ref="H887:H891"/>
    <mergeCell ref="I887:I891"/>
    <mergeCell ref="B892:E892"/>
    <mergeCell ref="I893:I905"/>
    <mergeCell ref="J893:J905"/>
    <mergeCell ref="K893:K905"/>
    <mergeCell ref="L893:L905"/>
    <mergeCell ref="M893:M905"/>
    <mergeCell ref="N893:N905"/>
    <mergeCell ref="O893:O905"/>
    <mergeCell ref="P893:P905"/>
    <mergeCell ref="R893:R905"/>
    <mergeCell ref="S893:S905"/>
    <mergeCell ref="U893:U905"/>
    <mergeCell ref="V893:V905"/>
    <mergeCell ref="W893:W905"/>
    <mergeCell ref="X893:X905"/>
    <mergeCell ref="Y893:Y905"/>
    <mergeCell ref="Z893:Z905"/>
    <mergeCell ref="AA893:AA905"/>
    <mergeCell ref="AB893:AB905"/>
    <mergeCell ref="AC893:AC905"/>
    <mergeCell ref="AD893:AD905"/>
    <mergeCell ref="AE893:AE905"/>
    <mergeCell ref="AF893:AF905"/>
    <mergeCell ref="AG893:AG905"/>
    <mergeCell ref="AH893:AH905"/>
    <mergeCell ref="AI893:AI905"/>
    <mergeCell ref="AJ893:AJ905"/>
    <mergeCell ref="AK893:AK905"/>
    <mergeCell ref="AL893:AL905"/>
    <mergeCell ref="A887:A891"/>
    <mergeCell ref="A893:A905"/>
    <mergeCell ref="B893:B905"/>
    <mergeCell ref="C893:C905"/>
    <mergeCell ref="D893:D905"/>
    <mergeCell ref="G893:G905"/>
    <mergeCell ref="H893:H905"/>
    <mergeCell ref="BH906:BH916"/>
    <mergeCell ref="BI906:BI916"/>
    <mergeCell ref="BJ906:BJ916"/>
    <mergeCell ref="BA906:BA916"/>
    <mergeCell ref="BB906:BB916"/>
    <mergeCell ref="BC906:BC916"/>
    <mergeCell ref="BD906:BD916"/>
    <mergeCell ref="BE906:BE916"/>
    <mergeCell ref="BF906:BF916"/>
    <mergeCell ref="BG906:BG916"/>
    <mergeCell ref="I906:I916"/>
    <mergeCell ref="J906:J916"/>
    <mergeCell ref="K906:K916"/>
    <mergeCell ref="L906:L916"/>
    <mergeCell ref="M906:M916"/>
    <mergeCell ref="N906:N916"/>
    <mergeCell ref="O906:O916"/>
    <mergeCell ref="P906:P916"/>
    <mergeCell ref="Q906:Q916"/>
    <mergeCell ref="R906:R916"/>
    <mergeCell ref="S906:S916"/>
    <mergeCell ref="U906:U916"/>
    <mergeCell ref="V906:V916"/>
    <mergeCell ref="W906:W916"/>
    <mergeCell ref="Y906:Y916"/>
    <mergeCell ref="Z906:Z916"/>
    <mergeCell ref="AA906:AA916"/>
    <mergeCell ref="AB906:AB916"/>
    <mergeCell ref="AC906:AC916"/>
    <mergeCell ref="AD906:AD916"/>
    <mergeCell ref="AE906:AE916"/>
    <mergeCell ref="AF906:AF916"/>
    <mergeCell ref="AG906:AG916"/>
    <mergeCell ref="AH906:AH916"/>
    <mergeCell ref="AI906:AI916"/>
    <mergeCell ref="AJ906:AJ916"/>
    <mergeCell ref="AK906:AK916"/>
    <mergeCell ref="AL906:AL916"/>
    <mergeCell ref="AM906:AM916"/>
    <mergeCell ref="AN906:AN916"/>
    <mergeCell ref="AO906:AO916"/>
    <mergeCell ref="AP906:AP916"/>
    <mergeCell ref="AQ906:AQ916"/>
    <mergeCell ref="AR906:AR916"/>
    <mergeCell ref="AS906:AS916"/>
    <mergeCell ref="AT906:AT916"/>
    <mergeCell ref="AU906:AU916"/>
    <mergeCell ref="AV906:AV916"/>
    <mergeCell ref="AW906:AW916"/>
    <mergeCell ref="AX906:AX916"/>
    <mergeCell ref="AY906:AY916"/>
    <mergeCell ref="AZ906:AZ916"/>
    <mergeCell ref="A906:A916"/>
    <mergeCell ref="B906:B916"/>
    <mergeCell ref="C906:C916"/>
    <mergeCell ref="D906:D916"/>
    <mergeCell ref="F906:F916"/>
    <mergeCell ref="G906:G916"/>
    <mergeCell ref="H906:H916"/>
    <mergeCell ref="AG949:AG953"/>
    <mergeCell ref="AH949:AH953"/>
    <mergeCell ref="Z949:Z953"/>
    <mergeCell ref="AA949:AA953"/>
    <mergeCell ref="AB949:AB953"/>
    <mergeCell ref="AC949:AC953"/>
    <mergeCell ref="AD949:AD953"/>
    <mergeCell ref="AE949:AE953"/>
    <mergeCell ref="AF949:AF953"/>
    <mergeCell ref="AP949:AP953"/>
    <mergeCell ref="AQ949:AQ953"/>
    <mergeCell ref="AI949:AI953"/>
    <mergeCell ref="AJ949:AJ953"/>
    <mergeCell ref="AK949:AK953"/>
    <mergeCell ref="AL949:AL953"/>
    <mergeCell ref="AM949:AM953"/>
    <mergeCell ref="AN949:AN953"/>
    <mergeCell ref="AO949:AO953"/>
    <mergeCell ref="AY949:AY953"/>
    <mergeCell ref="AZ949:AZ953"/>
    <mergeCell ref="AR949:AR953"/>
    <mergeCell ref="AS949:AS953"/>
    <mergeCell ref="AT949:AT953"/>
    <mergeCell ref="AU949:AU953"/>
    <mergeCell ref="AV949:AV953"/>
    <mergeCell ref="AW949:AW953"/>
    <mergeCell ref="AX949:AX953"/>
    <mergeCell ref="BH949:BH953"/>
    <mergeCell ref="BI949:BI953"/>
    <mergeCell ref="BA949:BA953"/>
    <mergeCell ref="BB949:BB953"/>
    <mergeCell ref="BC949:BC953"/>
    <mergeCell ref="BD949:BD953"/>
    <mergeCell ref="BE949:BE953"/>
    <mergeCell ref="BF949:BF953"/>
    <mergeCell ref="BG949:BG953"/>
    <mergeCell ref="R944:R948"/>
    <mergeCell ref="S944:S948"/>
    <mergeCell ref="U944:U948"/>
    <mergeCell ref="V944:V948"/>
    <mergeCell ref="W944:W948"/>
    <mergeCell ref="Y944:Y948"/>
    <mergeCell ref="Z944:Z948"/>
    <mergeCell ref="AA944:AA948"/>
    <mergeCell ref="AB944:AB948"/>
    <mergeCell ref="AC944:AC948"/>
    <mergeCell ref="AD944:AD948"/>
    <mergeCell ref="AE944:AE948"/>
    <mergeCell ref="AF944:AF948"/>
    <mergeCell ref="AG944:AG948"/>
    <mergeCell ref="R949:R953"/>
    <mergeCell ref="S949:S953"/>
    <mergeCell ref="U949:U953"/>
    <mergeCell ref="V949:V953"/>
    <mergeCell ref="W949:W953"/>
    <mergeCell ref="X949:X953"/>
    <mergeCell ref="Y949:Y953"/>
    <mergeCell ref="F954:BJ954"/>
    <mergeCell ref="AH944:AH948"/>
    <mergeCell ref="AI944:AI948"/>
    <mergeCell ref="AJ944:AJ948"/>
    <mergeCell ref="AK944:AK948"/>
    <mergeCell ref="AL944:AL948"/>
    <mergeCell ref="AM944:AM948"/>
    <mergeCell ref="AN944:AN948"/>
    <mergeCell ref="AO944:AO948"/>
    <mergeCell ref="AP944:AP948"/>
    <mergeCell ref="AQ944:AQ948"/>
    <mergeCell ref="AR944:AR948"/>
    <mergeCell ref="AS944:AS948"/>
    <mergeCell ref="AT944:AT948"/>
    <mergeCell ref="AU944:AU948"/>
    <mergeCell ref="AV944:AV948"/>
    <mergeCell ref="AW944:AW948"/>
    <mergeCell ref="AX944:AX948"/>
    <mergeCell ref="AY944:AY948"/>
    <mergeCell ref="AZ944:AZ948"/>
    <mergeCell ref="BA944:BA948"/>
    <mergeCell ref="BB944:BB948"/>
    <mergeCell ref="BJ944:BJ948"/>
    <mergeCell ref="BJ949:BJ953"/>
    <mergeCell ref="BC944:BC948"/>
    <mergeCell ref="BD944:BD948"/>
    <mergeCell ref="BE944:BE948"/>
    <mergeCell ref="BF944:BF948"/>
    <mergeCell ref="BG944:BG948"/>
    <mergeCell ref="BH944:BH948"/>
    <mergeCell ref="BI944:BI948"/>
    <mergeCell ref="AL955:AL967"/>
    <mergeCell ref="AM955:AM967"/>
    <mergeCell ref="AN955:AN967"/>
    <mergeCell ref="AO955:AO967"/>
    <mergeCell ref="AP955:AP967"/>
    <mergeCell ref="AQ955:AQ967"/>
    <mergeCell ref="AR955:AR967"/>
    <mergeCell ref="AS955:AS967"/>
    <mergeCell ref="AT955:AT967"/>
    <mergeCell ref="AU955:AU967"/>
    <mergeCell ref="AV955:AV967"/>
    <mergeCell ref="AW955:AW967"/>
    <mergeCell ref="AX955:AX967"/>
    <mergeCell ref="AY955:AY967"/>
    <mergeCell ref="BG955:BG967"/>
    <mergeCell ref="BH955:BH967"/>
    <mergeCell ref="BI955:BI967"/>
    <mergeCell ref="BJ955:BJ967"/>
    <mergeCell ref="AZ955:AZ967"/>
    <mergeCell ref="BA955:BA967"/>
    <mergeCell ref="BB955:BB967"/>
    <mergeCell ref="BC955:BC967"/>
    <mergeCell ref="BD955:BD967"/>
    <mergeCell ref="BE955:BE967"/>
    <mergeCell ref="BF955:BF967"/>
    <mergeCell ref="J949:J953"/>
    <mergeCell ref="K949:K953"/>
    <mergeCell ref="L949:L953"/>
    <mergeCell ref="M949:M953"/>
    <mergeCell ref="N949:N953"/>
    <mergeCell ref="O949:O953"/>
    <mergeCell ref="P949:P953"/>
    <mergeCell ref="B949:B953"/>
    <mergeCell ref="C949:C953"/>
    <mergeCell ref="D949:D953"/>
    <mergeCell ref="G949:G953"/>
    <mergeCell ref="H949:H953"/>
    <mergeCell ref="I949:I953"/>
    <mergeCell ref="B954:E954"/>
    <mergeCell ref="I955:I967"/>
    <mergeCell ref="J955:J967"/>
    <mergeCell ref="K955:K967"/>
    <mergeCell ref="L955:L967"/>
    <mergeCell ref="M955:M967"/>
    <mergeCell ref="N955:N967"/>
    <mergeCell ref="O955:O967"/>
    <mergeCell ref="P955:P967"/>
    <mergeCell ref="Q955:Q967"/>
    <mergeCell ref="R955:R967"/>
    <mergeCell ref="S955:S967"/>
    <mergeCell ref="T955:T967"/>
    <mergeCell ref="U955:U967"/>
    <mergeCell ref="V955:V967"/>
    <mergeCell ref="W955:W967"/>
    <mergeCell ref="Y955:Y967"/>
    <mergeCell ref="Z955:Z967"/>
    <mergeCell ref="AA955:AA967"/>
    <mergeCell ref="AB955:AB967"/>
    <mergeCell ref="AC955:AC967"/>
    <mergeCell ref="AD955:AD967"/>
    <mergeCell ref="AE955:AE967"/>
    <mergeCell ref="AF955:AF967"/>
    <mergeCell ref="AG955:AG967"/>
    <mergeCell ref="AH955:AH967"/>
    <mergeCell ref="AI955:AI967"/>
    <mergeCell ref="AJ955:AJ967"/>
    <mergeCell ref="AK955:AK967"/>
    <mergeCell ref="A949:A953"/>
    <mergeCell ref="A955:A967"/>
    <mergeCell ref="B955:B967"/>
    <mergeCell ref="C955:C967"/>
    <mergeCell ref="D955:D967"/>
    <mergeCell ref="F955:F967"/>
    <mergeCell ref="H955:H967"/>
    <mergeCell ref="Y4:Y16"/>
    <mergeCell ref="Z4:Z16"/>
    <mergeCell ref="AA4:AA16"/>
    <mergeCell ref="AB4:AB16"/>
    <mergeCell ref="AC4:AC16"/>
    <mergeCell ref="AD4:AD16"/>
    <mergeCell ref="AE4:AE16"/>
    <mergeCell ref="AF4:AF16"/>
    <mergeCell ref="AG4:AG16"/>
    <mergeCell ref="AH4:AH16"/>
    <mergeCell ref="AI4:AI16"/>
    <mergeCell ref="AJ4:AJ16"/>
    <mergeCell ref="AK4:AK16"/>
    <mergeCell ref="AL4:AL16"/>
    <mergeCell ref="L4:L16"/>
    <mergeCell ref="N4:N16"/>
    <mergeCell ref="BA4:BA16"/>
    <mergeCell ref="BB4:BB16"/>
    <mergeCell ref="BC4:BC16"/>
    <mergeCell ref="BD4:BD16"/>
    <mergeCell ref="BE4:BE16"/>
    <mergeCell ref="BF4:BF16"/>
    <mergeCell ref="BG4:BG16"/>
    <mergeCell ref="BH4:BH16"/>
    <mergeCell ref="BI4:BI16"/>
    <mergeCell ref="BJ4:BJ16"/>
    <mergeCell ref="B3:E3"/>
    <mergeCell ref="F3:BJ3"/>
    <mergeCell ref="A4:A16"/>
    <mergeCell ref="B4:B16"/>
    <mergeCell ref="C4:C16"/>
    <mergeCell ref="D4:D16"/>
    <mergeCell ref="F4:F16"/>
    <mergeCell ref="AM4:AM16"/>
    <mergeCell ref="AN4:AN16"/>
    <mergeCell ref="AO4:AO16"/>
    <mergeCell ref="AP4:AP16"/>
    <mergeCell ref="AQ4:AQ16"/>
    <mergeCell ref="AR4:AR16"/>
    <mergeCell ref="AS4:AS16"/>
    <mergeCell ref="AT4:AT16"/>
    <mergeCell ref="AU4:AU16"/>
    <mergeCell ref="AV4:AV16"/>
    <mergeCell ref="AW4:AW16"/>
    <mergeCell ref="AX4:AX16"/>
    <mergeCell ref="AY4:AY16"/>
    <mergeCell ref="AZ4:AZ16"/>
    <mergeCell ref="AB17:AB29"/>
    <mergeCell ref="AC17:AC29"/>
    <mergeCell ref="AD17:AD29"/>
    <mergeCell ref="AE17:AE29"/>
    <mergeCell ref="AF17:AF29"/>
    <mergeCell ref="AG17:AG29"/>
    <mergeCell ref="AH17:AH29"/>
    <mergeCell ref="AI17:AI29"/>
    <mergeCell ref="AJ17:AJ29"/>
    <mergeCell ref="AK17:AK29"/>
    <mergeCell ref="AL17:AL29"/>
    <mergeCell ref="AM17:AM29"/>
    <mergeCell ref="AN17:AN29"/>
    <mergeCell ref="AO17:AO29"/>
    <mergeCell ref="AP17:AP29"/>
    <mergeCell ref="AQ17:AQ29"/>
    <mergeCell ref="AR17:AR29"/>
    <mergeCell ref="AS17:AS29"/>
    <mergeCell ref="AT17:AT29"/>
    <mergeCell ref="AU17:AU29"/>
    <mergeCell ref="AV17:AV29"/>
    <mergeCell ref="BD17:BD29"/>
    <mergeCell ref="BE17:BE29"/>
    <mergeCell ref="BF17:BF29"/>
    <mergeCell ref="BG17:BG29"/>
    <mergeCell ref="BH17:BH29"/>
    <mergeCell ref="BI17:BI29"/>
    <mergeCell ref="BJ17:BJ29"/>
    <mergeCell ref="AW17:AW29"/>
    <mergeCell ref="AX17:AX29"/>
    <mergeCell ref="AY17:AY29"/>
    <mergeCell ref="AZ17:AZ29"/>
    <mergeCell ref="BA17:BA29"/>
    <mergeCell ref="BB17:BB29"/>
    <mergeCell ref="BC17:BC29"/>
    <mergeCell ref="J4:J16"/>
    <mergeCell ref="K4:K16"/>
    <mergeCell ref="O4:O16"/>
    <mergeCell ref="P4:P16"/>
    <mergeCell ref="Q4:Q16"/>
    <mergeCell ref="R4:R16"/>
    <mergeCell ref="R17:R29"/>
    <mergeCell ref="S4:S16"/>
    <mergeCell ref="T4:T16"/>
    <mergeCell ref="S17:S29"/>
    <mergeCell ref="U4:U16"/>
    <mergeCell ref="V4:V16"/>
    <mergeCell ref="U17:U29"/>
    <mergeCell ref="V17:V29"/>
    <mergeCell ref="H4:H16"/>
    <mergeCell ref="I4:I16"/>
    <mergeCell ref="A17:A29"/>
    <mergeCell ref="B17:B29"/>
    <mergeCell ref="C17:C29"/>
    <mergeCell ref="D17:D29"/>
    <mergeCell ref="G17:G29"/>
    <mergeCell ref="W4:W16"/>
    <mergeCell ref="X4:X16"/>
    <mergeCell ref="W17:W29"/>
    <mergeCell ref="X17:X29"/>
    <mergeCell ref="Y17:Y29"/>
    <mergeCell ref="Z17:Z29"/>
    <mergeCell ref="AA17:AA29"/>
    <mergeCell ref="AN30:AN42"/>
    <mergeCell ref="AO30:AO42"/>
    <mergeCell ref="AP30:AP42"/>
    <mergeCell ref="AQ30:AQ42"/>
    <mergeCell ref="AR30:AR42"/>
    <mergeCell ref="AS30:AS42"/>
    <mergeCell ref="AT30:AT42"/>
    <mergeCell ref="AU30:AU42"/>
    <mergeCell ref="AV30:AV42"/>
    <mergeCell ref="AW30:AW42"/>
    <mergeCell ref="AX30:AX42"/>
    <mergeCell ref="AY30:AY42"/>
    <mergeCell ref="AZ30:AZ42"/>
    <mergeCell ref="BA30:BA42"/>
    <mergeCell ref="BI30:BI42"/>
    <mergeCell ref="BJ30:BJ42"/>
    <mergeCell ref="BB30:BB42"/>
    <mergeCell ref="BC30:BC42"/>
    <mergeCell ref="BD30:BD42"/>
    <mergeCell ref="BE30:BE42"/>
    <mergeCell ref="BF30:BF42"/>
    <mergeCell ref="BG30:BG42"/>
    <mergeCell ref="BH30:BH42"/>
    <mergeCell ref="O17:O29"/>
    <mergeCell ref="P17:P29"/>
    <mergeCell ref="H17:H29"/>
    <mergeCell ref="I17:I29"/>
    <mergeCell ref="J17:J29"/>
    <mergeCell ref="K17:K29"/>
    <mergeCell ref="L17:L29"/>
    <mergeCell ref="M17:M29"/>
    <mergeCell ref="N17:N29"/>
    <mergeCell ref="J30:J42"/>
    <mergeCell ref="K30:K42"/>
    <mergeCell ref="L30:L42"/>
    <mergeCell ref="M30:M42"/>
    <mergeCell ref="N30:N42"/>
    <mergeCell ref="O30:O42"/>
    <mergeCell ref="P30:P42"/>
    <mergeCell ref="R30:R42"/>
    <mergeCell ref="S30:S42"/>
    <mergeCell ref="U30:U42"/>
    <mergeCell ref="V30:V42"/>
    <mergeCell ref="W30:W42"/>
    <mergeCell ref="X30:X42"/>
    <mergeCell ref="Y30:Y42"/>
    <mergeCell ref="Z30:Z42"/>
    <mergeCell ref="AA30:AA42"/>
    <mergeCell ref="AB30:AB42"/>
    <mergeCell ref="AC30:AC42"/>
    <mergeCell ref="AD30:AD42"/>
    <mergeCell ref="AE30:AE42"/>
    <mergeCell ref="AF30:AF42"/>
    <mergeCell ref="AG30:AG42"/>
    <mergeCell ref="AH30:AH42"/>
    <mergeCell ref="AI30:AI42"/>
    <mergeCell ref="AJ30:AJ42"/>
    <mergeCell ref="AK30:AK42"/>
    <mergeCell ref="AL30:AL42"/>
    <mergeCell ref="AM30:AM42"/>
    <mergeCell ref="A30:A42"/>
    <mergeCell ref="B30:B42"/>
    <mergeCell ref="C30:C42"/>
    <mergeCell ref="D30:D42"/>
    <mergeCell ref="G30:G42"/>
    <mergeCell ref="H30:H42"/>
    <mergeCell ref="I30:I42"/>
    <mergeCell ref="BI78:BI88"/>
    <mergeCell ref="BJ78:BJ88"/>
    <mergeCell ref="BB78:BB88"/>
    <mergeCell ref="BC78:BC88"/>
    <mergeCell ref="BD78:BD88"/>
    <mergeCell ref="BE78:BE88"/>
    <mergeCell ref="BF78:BF88"/>
    <mergeCell ref="BG78:BG88"/>
    <mergeCell ref="BH78:BH88"/>
    <mergeCell ref="J78:J88"/>
    <mergeCell ref="K78:K88"/>
    <mergeCell ref="L78:L88"/>
    <mergeCell ref="M78:M88"/>
    <mergeCell ref="N78:N88"/>
    <mergeCell ref="O78:O88"/>
    <mergeCell ref="P78:P88"/>
    <mergeCell ref="R78:R88"/>
    <mergeCell ref="S78:S88"/>
    <mergeCell ref="U78:U88"/>
    <mergeCell ref="V78:V88"/>
    <mergeCell ref="W78:W88"/>
    <mergeCell ref="X78:X88"/>
    <mergeCell ref="Y78:Y88"/>
    <mergeCell ref="Z78:Z88"/>
    <mergeCell ref="AA78:AA88"/>
    <mergeCell ref="AB78:AB88"/>
    <mergeCell ref="AC78:AC88"/>
    <mergeCell ref="AD78:AD88"/>
    <mergeCell ref="AE78:AE88"/>
    <mergeCell ref="AF78:AF88"/>
    <mergeCell ref="AG78:AG88"/>
    <mergeCell ref="AH78:AH88"/>
    <mergeCell ref="AI78:AI88"/>
    <mergeCell ref="AJ78:AJ88"/>
    <mergeCell ref="AK78:AK88"/>
    <mergeCell ref="AL78:AL88"/>
    <mergeCell ref="AM78:AM88"/>
    <mergeCell ref="AN78:AN88"/>
    <mergeCell ref="AO78:AO88"/>
    <mergeCell ref="AP78:AP88"/>
    <mergeCell ref="AQ78:AQ88"/>
    <mergeCell ref="AR78:AR88"/>
    <mergeCell ref="AS78:AS88"/>
    <mergeCell ref="AT78:AT88"/>
    <mergeCell ref="AU78:AU88"/>
    <mergeCell ref="AV78:AV88"/>
    <mergeCell ref="AW78:AW88"/>
    <mergeCell ref="AX78:AX88"/>
    <mergeCell ref="AY78:AY88"/>
    <mergeCell ref="AZ78:AZ88"/>
    <mergeCell ref="BA78:BA88"/>
    <mergeCell ref="A78:A88"/>
    <mergeCell ref="B78:B88"/>
    <mergeCell ref="C78:C88"/>
    <mergeCell ref="D78:D88"/>
    <mergeCell ref="G78:G88"/>
    <mergeCell ref="H78:H88"/>
    <mergeCell ref="I78:I88"/>
    <mergeCell ref="BI43:BI55"/>
    <mergeCell ref="BJ43:BJ55"/>
    <mergeCell ref="BB43:BB55"/>
    <mergeCell ref="BC43:BC55"/>
    <mergeCell ref="BD43:BD55"/>
    <mergeCell ref="BE43:BE55"/>
    <mergeCell ref="BF43:BF55"/>
    <mergeCell ref="BG43:BG55"/>
    <mergeCell ref="BH43:BH55"/>
    <mergeCell ref="J43:J55"/>
    <mergeCell ref="K43:K55"/>
    <mergeCell ref="L43:L55"/>
    <mergeCell ref="M43:M55"/>
    <mergeCell ref="N43:N55"/>
    <mergeCell ref="O43:O55"/>
    <mergeCell ref="P43:P55"/>
    <mergeCell ref="R43:R55"/>
    <mergeCell ref="S43:S55"/>
    <mergeCell ref="U43:U55"/>
    <mergeCell ref="V43:V55"/>
    <mergeCell ref="W43:W55"/>
    <mergeCell ref="X43:X55"/>
    <mergeCell ref="Y43:Y55"/>
    <mergeCell ref="Z43:Z55"/>
    <mergeCell ref="AA43:AA55"/>
    <mergeCell ref="AB43:AB55"/>
    <mergeCell ref="AC43:AC55"/>
    <mergeCell ref="AD43:AD55"/>
    <mergeCell ref="AE43:AE55"/>
    <mergeCell ref="AF43:AF55"/>
    <mergeCell ref="AG43:AG55"/>
    <mergeCell ref="AH43:AH55"/>
    <mergeCell ref="AI43:AI55"/>
    <mergeCell ref="AJ43:AJ55"/>
    <mergeCell ref="AK43:AK55"/>
    <mergeCell ref="AL43:AL55"/>
    <mergeCell ref="AM43:AM55"/>
    <mergeCell ref="AN43:AN55"/>
    <mergeCell ref="AO43:AO55"/>
    <mergeCell ref="AP43:AP55"/>
    <mergeCell ref="AQ43:AQ55"/>
    <mergeCell ref="AR43:AR55"/>
    <mergeCell ref="AS43:AS55"/>
    <mergeCell ref="AT43:AT55"/>
    <mergeCell ref="AU43:AU55"/>
    <mergeCell ref="AV43:AV55"/>
    <mergeCell ref="AW43:AW55"/>
    <mergeCell ref="AX43:AX55"/>
    <mergeCell ref="AY43:AY55"/>
    <mergeCell ref="AZ43:AZ55"/>
    <mergeCell ref="BA43:BA55"/>
    <mergeCell ref="A43:A55"/>
    <mergeCell ref="B43:B55"/>
    <mergeCell ref="C43:C55"/>
    <mergeCell ref="D43:D55"/>
    <mergeCell ref="G43:G55"/>
    <mergeCell ref="H43:H55"/>
    <mergeCell ref="I43:I55"/>
    <mergeCell ref="BH56:BH66"/>
    <mergeCell ref="BI56:BI66"/>
    <mergeCell ref="BJ56:BJ66"/>
    <mergeCell ref="BA56:BA66"/>
    <mergeCell ref="BB56:BB66"/>
    <mergeCell ref="BC56:BC66"/>
    <mergeCell ref="BD56:BD66"/>
    <mergeCell ref="BE56:BE66"/>
    <mergeCell ref="BF56:BF66"/>
    <mergeCell ref="BG56:BG66"/>
    <mergeCell ref="J56:J66"/>
    <mergeCell ref="K56:K66"/>
    <mergeCell ref="L56:L66"/>
    <mergeCell ref="N56:N66"/>
    <mergeCell ref="O56:O66"/>
    <mergeCell ref="P56:P66"/>
    <mergeCell ref="Q56:Q66"/>
    <mergeCell ref="R56:R66"/>
    <mergeCell ref="S56:S66"/>
    <mergeCell ref="T56:T66"/>
    <mergeCell ref="U56:U66"/>
    <mergeCell ref="V56:V66"/>
    <mergeCell ref="W56:W66"/>
    <mergeCell ref="X56:X66"/>
    <mergeCell ref="Y56:Y66"/>
    <mergeCell ref="Z56:Z66"/>
    <mergeCell ref="AA56:AA66"/>
    <mergeCell ref="AB56:AB66"/>
    <mergeCell ref="AC56:AC66"/>
    <mergeCell ref="AD56:AD66"/>
    <mergeCell ref="AE56:AE66"/>
    <mergeCell ref="AF56:AF66"/>
    <mergeCell ref="AG56:AG66"/>
    <mergeCell ref="AH56:AH66"/>
    <mergeCell ref="AI56:AI66"/>
    <mergeCell ref="AJ56:AJ66"/>
    <mergeCell ref="AK56:AK66"/>
    <mergeCell ref="AL56:AL66"/>
    <mergeCell ref="AM56:AM66"/>
    <mergeCell ref="AN56:AN66"/>
    <mergeCell ref="AO56:AO66"/>
    <mergeCell ref="AP56:AP66"/>
    <mergeCell ref="AQ56:AQ66"/>
    <mergeCell ref="AR56:AR66"/>
    <mergeCell ref="AS56:AS66"/>
    <mergeCell ref="AT56:AT66"/>
    <mergeCell ref="AU56:AU66"/>
    <mergeCell ref="AV56:AV66"/>
    <mergeCell ref="AW56:AW66"/>
    <mergeCell ref="AX56:AX66"/>
    <mergeCell ref="AY56:AY66"/>
    <mergeCell ref="AZ56:AZ66"/>
    <mergeCell ref="A56:A66"/>
    <mergeCell ref="B56:B66"/>
    <mergeCell ref="C56:C66"/>
    <mergeCell ref="D56:D66"/>
    <mergeCell ref="F56:F66"/>
    <mergeCell ref="H56:H66"/>
    <mergeCell ref="I56:I66"/>
    <mergeCell ref="BI67:BI77"/>
    <mergeCell ref="BJ67:BJ77"/>
    <mergeCell ref="BB67:BB77"/>
    <mergeCell ref="BC67:BC77"/>
    <mergeCell ref="BD67:BD77"/>
    <mergeCell ref="BE67:BE77"/>
    <mergeCell ref="BF67:BF77"/>
    <mergeCell ref="BG67:BG77"/>
    <mergeCell ref="BH67:BH77"/>
    <mergeCell ref="J67:J77"/>
    <mergeCell ref="K67:K77"/>
    <mergeCell ref="L67:L77"/>
    <mergeCell ref="M67:M77"/>
    <mergeCell ref="N67:N77"/>
    <mergeCell ref="O67:O77"/>
    <mergeCell ref="P67:P77"/>
    <mergeCell ref="R67:R77"/>
    <mergeCell ref="S67:S77"/>
    <mergeCell ref="U67:U77"/>
    <mergeCell ref="V67:V77"/>
    <mergeCell ref="W67:W77"/>
    <mergeCell ref="X67:X77"/>
    <mergeCell ref="Y67:Y77"/>
    <mergeCell ref="Z67:Z77"/>
    <mergeCell ref="AA67:AA77"/>
    <mergeCell ref="AB67:AB77"/>
    <mergeCell ref="AC67:AC77"/>
    <mergeCell ref="AD67:AD77"/>
    <mergeCell ref="AE67:AE77"/>
    <mergeCell ref="AF67:AF77"/>
    <mergeCell ref="AG67:AG77"/>
    <mergeCell ref="AH67:AH77"/>
    <mergeCell ref="AI67:AI77"/>
    <mergeCell ref="AJ67:AJ77"/>
    <mergeCell ref="AK67:AK77"/>
    <mergeCell ref="AL67:AL77"/>
    <mergeCell ref="AM67:AM77"/>
    <mergeCell ref="AN67:AN77"/>
    <mergeCell ref="AO67:AO77"/>
    <mergeCell ref="AP67:AP77"/>
    <mergeCell ref="AQ67:AQ77"/>
    <mergeCell ref="AR67:AR77"/>
    <mergeCell ref="AS67:AS77"/>
    <mergeCell ref="AT67:AT77"/>
    <mergeCell ref="AU67:AU77"/>
    <mergeCell ref="AV67:AV77"/>
    <mergeCell ref="AW67:AW77"/>
    <mergeCell ref="AX67:AX77"/>
    <mergeCell ref="AY67:AY77"/>
    <mergeCell ref="AZ67:AZ77"/>
    <mergeCell ref="BA67:BA77"/>
    <mergeCell ref="A67:A77"/>
    <mergeCell ref="B67:B77"/>
    <mergeCell ref="C67:C77"/>
    <mergeCell ref="D67:D77"/>
    <mergeCell ref="G67:G77"/>
    <mergeCell ref="H67:H77"/>
    <mergeCell ref="I67:I77"/>
    <mergeCell ref="BI89:BI99"/>
    <mergeCell ref="BJ89:BJ99"/>
    <mergeCell ref="BB89:BB99"/>
    <mergeCell ref="BC89:BC99"/>
    <mergeCell ref="BD89:BD99"/>
    <mergeCell ref="BE89:BE99"/>
    <mergeCell ref="BF89:BF99"/>
    <mergeCell ref="BG89:BG99"/>
    <mergeCell ref="BH89:BH99"/>
    <mergeCell ref="J89:J99"/>
    <mergeCell ref="K89:K99"/>
    <mergeCell ref="L89:L99"/>
    <mergeCell ref="M89:M99"/>
    <mergeCell ref="N89:N99"/>
    <mergeCell ref="O89:O99"/>
    <mergeCell ref="P89:P99"/>
    <mergeCell ref="R89:R99"/>
    <mergeCell ref="S89:S99"/>
    <mergeCell ref="U89:U99"/>
    <mergeCell ref="V89:V99"/>
    <mergeCell ref="W89:W99"/>
    <mergeCell ref="X89:X99"/>
    <mergeCell ref="Y89:Y99"/>
    <mergeCell ref="F100:BJ100"/>
    <mergeCell ref="I101:I113"/>
    <mergeCell ref="J101:J113"/>
    <mergeCell ref="K101:K113"/>
    <mergeCell ref="L101:L113"/>
    <mergeCell ref="M101:M113"/>
    <mergeCell ref="N101:N113"/>
    <mergeCell ref="O101:O113"/>
    <mergeCell ref="Z89:Z99"/>
    <mergeCell ref="AA89:AA99"/>
    <mergeCell ref="AB89:AB99"/>
    <mergeCell ref="AC89:AC99"/>
    <mergeCell ref="AD89:AD99"/>
    <mergeCell ref="AE89:AE99"/>
    <mergeCell ref="AF89:AF99"/>
    <mergeCell ref="AG89:AG99"/>
    <mergeCell ref="AH89:AH99"/>
    <mergeCell ref="AI89:AI99"/>
    <mergeCell ref="AJ89:AJ99"/>
    <mergeCell ref="AK89:AK99"/>
    <mergeCell ref="AL89:AL99"/>
    <mergeCell ref="AM89:AM99"/>
    <mergeCell ref="AN89:AN99"/>
    <mergeCell ref="AO89:AO99"/>
    <mergeCell ref="AP89:AP99"/>
    <mergeCell ref="AQ89:AQ99"/>
    <mergeCell ref="AR89:AR99"/>
    <mergeCell ref="AS89:AS99"/>
    <mergeCell ref="AT89:AT99"/>
    <mergeCell ref="AU89:AU99"/>
    <mergeCell ref="AV89:AV99"/>
    <mergeCell ref="AW89:AW99"/>
    <mergeCell ref="AX89:AX99"/>
    <mergeCell ref="AY89:AY99"/>
    <mergeCell ref="AZ89:AZ99"/>
    <mergeCell ref="BA89:BA99"/>
    <mergeCell ref="B89:B99"/>
    <mergeCell ref="C89:C99"/>
    <mergeCell ref="D89:D99"/>
    <mergeCell ref="G89:G99"/>
    <mergeCell ref="H89:H99"/>
    <mergeCell ref="I89:I99"/>
    <mergeCell ref="B100:E100"/>
    <mergeCell ref="A89:A99"/>
    <mergeCell ref="A101:A113"/>
    <mergeCell ref="B101:B113"/>
    <mergeCell ref="C101:C113"/>
    <mergeCell ref="D101:D113"/>
    <mergeCell ref="G101:G113"/>
    <mergeCell ref="H101:H113"/>
    <mergeCell ref="J114:J126"/>
    <mergeCell ref="K114:K126"/>
    <mergeCell ref="L114:L126"/>
    <mergeCell ref="M114:M126"/>
    <mergeCell ref="N114:N126"/>
    <mergeCell ref="O114:O126"/>
    <mergeCell ref="P114:P126"/>
    <mergeCell ref="R114:R126"/>
    <mergeCell ref="S114:S126"/>
    <mergeCell ref="U114:U126"/>
    <mergeCell ref="V114:V126"/>
    <mergeCell ref="W114:W126"/>
    <mergeCell ref="X114:X126"/>
    <mergeCell ref="Y114:Y126"/>
    <mergeCell ref="Z114:Z126"/>
    <mergeCell ref="AA114:AA126"/>
    <mergeCell ref="AB114:AB126"/>
    <mergeCell ref="AC114:AC126"/>
    <mergeCell ref="AD114:AD126"/>
    <mergeCell ref="AE114:AE126"/>
    <mergeCell ref="AF114:AF126"/>
    <mergeCell ref="AG114:AG126"/>
    <mergeCell ref="AH114:AH126"/>
    <mergeCell ref="AI114:AI126"/>
    <mergeCell ref="AJ114:AJ126"/>
    <mergeCell ref="AK114:AK126"/>
    <mergeCell ref="AL114:AL126"/>
    <mergeCell ref="AM114:AM126"/>
    <mergeCell ref="A114:A126"/>
    <mergeCell ref="B114:B126"/>
    <mergeCell ref="C114:C126"/>
    <mergeCell ref="D114:D126"/>
    <mergeCell ref="G114:G126"/>
    <mergeCell ref="H114:H126"/>
    <mergeCell ref="I114:I126"/>
    <mergeCell ref="BH127:BH137"/>
    <mergeCell ref="BI127:BI137"/>
    <mergeCell ref="BJ127:BJ137"/>
    <mergeCell ref="BA127:BA137"/>
    <mergeCell ref="BB127:BB137"/>
    <mergeCell ref="BC127:BC137"/>
    <mergeCell ref="BD127:BD137"/>
    <mergeCell ref="BE127:BE137"/>
    <mergeCell ref="BF127:BF137"/>
    <mergeCell ref="BG127:BG137"/>
    <mergeCell ref="Y139:Y151"/>
    <mergeCell ref="Z139:Z151"/>
    <mergeCell ref="P139:P151"/>
    <mergeCell ref="R139:R151"/>
    <mergeCell ref="S139:S151"/>
    <mergeCell ref="U139:U151"/>
    <mergeCell ref="V139:V151"/>
    <mergeCell ref="W139:W151"/>
    <mergeCell ref="X139:X151"/>
    <mergeCell ref="AH139:AH151"/>
    <mergeCell ref="AI139:AI151"/>
    <mergeCell ref="AA139:AA151"/>
    <mergeCell ref="AB139:AB151"/>
    <mergeCell ref="AC139:AC151"/>
    <mergeCell ref="AD139:AD151"/>
    <mergeCell ref="AE139:AE151"/>
    <mergeCell ref="AF139:AF151"/>
    <mergeCell ref="AG139:AG151"/>
    <mergeCell ref="AQ139:AQ151"/>
    <mergeCell ref="AR139:AR151"/>
    <mergeCell ref="AJ139:AJ151"/>
    <mergeCell ref="AK139:AK151"/>
    <mergeCell ref="AL139:AL151"/>
    <mergeCell ref="AM139:AM151"/>
    <mergeCell ref="AN139:AN151"/>
    <mergeCell ref="AO139:AO151"/>
    <mergeCell ref="AP139:AP151"/>
    <mergeCell ref="AZ139:AZ151"/>
    <mergeCell ref="BA139:BA151"/>
    <mergeCell ref="AS139:AS151"/>
    <mergeCell ref="AT139:AT151"/>
    <mergeCell ref="AU139:AU151"/>
    <mergeCell ref="AV139:AV151"/>
    <mergeCell ref="AW139:AW151"/>
    <mergeCell ref="AX139:AX151"/>
    <mergeCell ref="AY139:AY151"/>
    <mergeCell ref="BI139:BI151"/>
    <mergeCell ref="BJ139:BJ151"/>
    <mergeCell ref="BB139:BB151"/>
    <mergeCell ref="BC139:BC151"/>
    <mergeCell ref="BD139:BD151"/>
    <mergeCell ref="BE139:BE151"/>
    <mergeCell ref="BF139:BF151"/>
    <mergeCell ref="BG139:BG151"/>
    <mergeCell ref="BH139:BH151"/>
    <mergeCell ref="I127:I137"/>
    <mergeCell ref="J127:J137"/>
    <mergeCell ref="K127:K137"/>
    <mergeCell ref="L127:L137"/>
    <mergeCell ref="M127:M137"/>
    <mergeCell ref="N127:N137"/>
    <mergeCell ref="O127:O137"/>
    <mergeCell ref="P127:P137"/>
    <mergeCell ref="Q127:Q137"/>
    <mergeCell ref="R127:R137"/>
    <mergeCell ref="S127:S137"/>
    <mergeCell ref="U127:U137"/>
    <mergeCell ref="V127:V137"/>
    <mergeCell ref="W127:W137"/>
    <mergeCell ref="F138:BJ138"/>
    <mergeCell ref="I139:I151"/>
    <mergeCell ref="J139:J151"/>
    <mergeCell ref="K139:K151"/>
    <mergeCell ref="L139:L151"/>
    <mergeCell ref="M139:M151"/>
    <mergeCell ref="N139:N151"/>
    <mergeCell ref="O139:O151"/>
    <mergeCell ref="Y127:Y137"/>
    <mergeCell ref="Z127:Z137"/>
    <mergeCell ref="AA127:AA137"/>
    <mergeCell ref="AB127:AB137"/>
    <mergeCell ref="AC127:AC137"/>
    <mergeCell ref="AD127:AD137"/>
    <mergeCell ref="AE127:AE137"/>
    <mergeCell ref="AF127:AF137"/>
    <mergeCell ref="AG127:AG137"/>
    <mergeCell ref="AH127:AH137"/>
    <mergeCell ref="AI127:AI137"/>
    <mergeCell ref="AJ127:AJ137"/>
    <mergeCell ref="AK127:AK137"/>
    <mergeCell ref="AL127:AL137"/>
    <mergeCell ref="AM127:AM137"/>
    <mergeCell ref="AN127:AN137"/>
    <mergeCell ref="AO127:AO137"/>
    <mergeCell ref="AP127:AP137"/>
    <mergeCell ref="AQ127:AQ137"/>
    <mergeCell ref="AR127:AR137"/>
    <mergeCell ref="AS127:AS137"/>
    <mergeCell ref="AT127:AT137"/>
    <mergeCell ref="AU127:AU137"/>
    <mergeCell ref="AV127:AV137"/>
    <mergeCell ref="AW127:AW137"/>
    <mergeCell ref="AX127:AX137"/>
    <mergeCell ref="AY127:AY137"/>
    <mergeCell ref="AZ127:AZ137"/>
    <mergeCell ref="Y101:Y113"/>
    <mergeCell ref="Z101:Z113"/>
    <mergeCell ref="P101:P113"/>
    <mergeCell ref="R101:R113"/>
    <mergeCell ref="S101:S113"/>
    <mergeCell ref="U101:U113"/>
    <mergeCell ref="V101:V113"/>
    <mergeCell ref="W101:W113"/>
    <mergeCell ref="X101:X113"/>
    <mergeCell ref="AH101:AH113"/>
    <mergeCell ref="AI101:AI113"/>
    <mergeCell ref="AA101:AA113"/>
    <mergeCell ref="AB101:AB113"/>
    <mergeCell ref="AC101:AC113"/>
    <mergeCell ref="AD101:AD113"/>
    <mergeCell ref="AE101:AE113"/>
    <mergeCell ref="AF101:AF113"/>
    <mergeCell ref="AG101:AG113"/>
    <mergeCell ref="AQ101:AQ113"/>
    <mergeCell ref="AR101:AR113"/>
    <mergeCell ref="AJ101:AJ113"/>
    <mergeCell ref="AK101:AK113"/>
    <mergeCell ref="AL101:AL113"/>
    <mergeCell ref="AM101:AM113"/>
    <mergeCell ref="AN101:AN113"/>
    <mergeCell ref="AO101:AO113"/>
    <mergeCell ref="AP101:AP113"/>
    <mergeCell ref="AZ101:AZ113"/>
    <mergeCell ref="BA101:BA113"/>
    <mergeCell ref="AS101:AS113"/>
    <mergeCell ref="AT101:AT113"/>
    <mergeCell ref="AU101:AU113"/>
    <mergeCell ref="AV101:AV113"/>
    <mergeCell ref="AW101:AW113"/>
    <mergeCell ref="AX101:AX113"/>
    <mergeCell ref="AY101:AY113"/>
    <mergeCell ref="BI101:BI113"/>
    <mergeCell ref="BJ101:BJ113"/>
    <mergeCell ref="BB101:BB113"/>
    <mergeCell ref="BC101:BC113"/>
    <mergeCell ref="BD101:BD113"/>
    <mergeCell ref="BE101:BE113"/>
    <mergeCell ref="BF101:BF113"/>
    <mergeCell ref="BG101:BG113"/>
    <mergeCell ref="BH101:BH113"/>
    <mergeCell ref="AN114:AN126"/>
    <mergeCell ref="AO114:AO126"/>
    <mergeCell ref="AP114:AP126"/>
    <mergeCell ref="AQ114:AQ126"/>
    <mergeCell ref="AR114:AR126"/>
    <mergeCell ref="AS114:AS126"/>
    <mergeCell ref="AT114:AT126"/>
    <mergeCell ref="AU114:AU126"/>
    <mergeCell ref="AV114:AV126"/>
    <mergeCell ref="AW114:AW126"/>
    <mergeCell ref="AX114:AX126"/>
    <mergeCell ref="AY114:AY126"/>
    <mergeCell ref="AZ114:AZ126"/>
    <mergeCell ref="BA114:BA126"/>
    <mergeCell ref="BI114:BI126"/>
    <mergeCell ref="BJ114:BJ126"/>
    <mergeCell ref="BB114:BB126"/>
    <mergeCell ref="BC114:BC126"/>
    <mergeCell ref="BD114:BD126"/>
    <mergeCell ref="BE114:BE126"/>
    <mergeCell ref="BF114:BF126"/>
    <mergeCell ref="BG114:BG126"/>
    <mergeCell ref="BH114:BH126"/>
    <mergeCell ref="AN152:AN164"/>
    <mergeCell ref="AO152:AO164"/>
    <mergeCell ref="AP152:AP164"/>
    <mergeCell ref="AQ152:AQ164"/>
    <mergeCell ref="AR152:AR164"/>
    <mergeCell ref="AS152:AS164"/>
    <mergeCell ref="AT152:AT164"/>
    <mergeCell ref="AU152:AU164"/>
    <mergeCell ref="AV152:AV164"/>
    <mergeCell ref="AW152:AW164"/>
    <mergeCell ref="AX152:AX164"/>
    <mergeCell ref="AY152:AY164"/>
    <mergeCell ref="AZ152:AZ164"/>
    <mergeCell ref="BA152:BA164"/>
    <mergeCell ref="BI152:BI164"/>
    <mergeCell ref="BJ152:BJ164"/>
    <mergeCell ref="BB152:BB164"/>
    <mergeCell ref="BC152:BC164"/>
    <mergeCell ref="BD152:BD164"/>
    <mergeCell ref="BE152:BE164"/>
    <mergeCell ref="BF152:BF164"/>
    <mergeCell ref="BG152:BG164"/>
    <mergeCell ref="BH152:BH164"/>
    <mergeCell ref="B127:B137"/>
    <mergeCell ref="C127:C137"/>
    <mergeCell ref="D127:D137"/>
    <mergeCell ref="F127:F137"/>
    <mergeCell ref="G127:G137"/>
    <mergeCell ref="H127:H137"/>
    <mergeCell ref="B138:E138"/>
    <mergeCell ref="A127:A137"/>
    <mergeCell ref="A139:A151"/>
    <mergeCell ref="B139:B151"/>
    <mergeCell ref="C139:C151"/>
    <mergeCell ref="D139:D151"/>
    <mergeCell ref="F139:F151"/>
    <mergeCell ref="H139:H151"/>
    <mergeCell ref="J152:J164"/>
    <mergeCell ref="K152:K164"/>
    <mergeCell ref="L152:L164"/>
    <mergeCell ref="M152:M164"/>
    <mergeCell ref="N152:N164"/>
    <mergeCell ref="O152:O164"/>
    <mergeCell ref="P152:P164"/>
    <mergeCell ref="R152:R164"/>
    <mergeCell ref="S152:S164"/>
    <mergeCell ref="U152:U164"/>
    <mergeCell ref="V152:V164"/>
    <mergeCell ref="W152:W164"/>
    <mergeCell ref="X152:X164"/>
    <mergeCell ref="Y152:Y164"/>
    <mergeCell ref="Z152:Z164"/>
    <mergeCell ref="AA152:AA164"/>
    <mergeCell ref="AB152:AB164"/>
    <mergeCell ref="AC152:AC164"/>
    <mergeCell ref="AD152:AD164"/>
    <mergeCell ref="AE152:AE164"/>
    <mergeCell ref="AF152:AF164"/>
    <mergeCell ref="AG152:AG164"/>
    <mergeCell ref="AH152:AH164"/>
    <mergeCell ref="AI152:AI164"/>
    <mergeCell ref="AJ152:AJ164"/>
    <mergeCell ref="AK152:AK164"/>
    <mergeCell ref="AL152:AL164"/>
    <mergeCell ref="AM152:AM164"/>
    <mergeCell ref="A152:A164"/>
    <mergeCell ref="B152:B164"/>
    <mergeCell ref="C152:C164"/>
    <mergeCell ref="D152:D164"/>
    <mergeCell ref="G152:G164"/>
    <mergeCell ref="H152:H164"/>
    <mergeCell ref="I152:I164"/>
    <mergeCell ref="BH165:BH175"/>
    <mergeCell ref="BI165:BI175"/>
    <mergeCell ref="BJ165:BJ175"/>
    <mergeCell ref="BA165:BA175"/>
    <mergeCell ref="BB165:BB175"/>
    <mergeCell ref="BC165:BC175"/>
    <mergeCell ref="BD165:BD175"/>
    <mergeCell ref="BE165:BE175"/>
    <mergeCell ref="BF165:BF175"/>
    <mergeCell ref="BG165:BG175"/>
    <mergeCell ref="I165:I175"/>
    <mergeCell ref="J165:J175"/>
    <mergeCell ref="K165:K175"/>
    <mergeCell ref="L165:L175"/>
    <mergeCell ref="M165:M175"/>
    <mergeCell ref="N165:N175"/>
    <mergeCell ref="O165:O175"/>
    <mergeCell ref="P165:P175"/>
    <mergeCell ref="Q165:Q175"/>
    <mergeCell ref="R165:R175"/>
    <mergeCell ref="S165:S175"/>
    <mergeCell ref="U165:U175"/>
    <mergeCell ref="V165:V175"/>
    <mergeCell ref="W165:W175"/>
    <mergeCell ref="Y165:Y175"/>
    <mergeCell ref="Z165:Z175"/>
    <mergeCell ref="AA165:AA175"/>
    <mergeCell ref="AB165:AB175"/>
    <mergeCell ref="AC165:AC175"/>
    <mergeCell ref="AD165:AD175"/>
    <mergeCell ref="AE165:AE175"/>
    <mergeCell ref="AF165:AF175"/>
    <mergeCell ref="AG165:AG175"/>
    <mergeCell ref="AH165:AH175"/>
    <mergeCell ref="AI165:AI175"/>
    <mergeCell ref="AJ165:AJ175"/>
    <mergeCell ref="AK165:AK175"/>
    <mergeCell ref="AL165:AL175"/>
    <mergeCell ref="AM165:AM175"/>
    <mergeCell ref="AN165:AN175"/>
    <mergeCell ref="AO165:AO175"/>
    <mergeCell ref="AP165:AP175"/>
    <mergeCell ref="AQ165:AQ175"/>
    <mergeCell ref="AR165:AR175"/>
    <mergeCell ref="AS165:AS175"/>
    <mergeCell ref="AT165:AT175"/>
    <mergeCell ref="AU165:AU175"/>
    <mergeCell ref="AV165:AV175"/>
    <mergeCell ref="AW165:AW175"/>
    <mergeCell ref="AX165:AX175"/>
    <mergeCell ref="AY165:AY175"/>
    <mergeCell ref="AZ165:AZ175"/>
    <mergeCell ref="A165:A175"/>
    <mergeCell ref="B165:B175"/>
    <mergeCell ref="C165:C175"/>
    <mergeCell ref="D165:D175"/>
    <mergeCell ref="F165:F175"/>
    <mergeCell ref="G165:G175"/>
    <mergeCell ref="H165:H175"/>
    <mergeCell ref="BI176:BI186"/>
    <mergeCell ref="BJ176:BJ186"/>
    <mergeCell ref="BB176:BB186"/>
    <mergeCell ref="BC176:BC186"/>
    <mergeCell ref="BD176:BD186"/>
    <mergeCell ref="BE176:BE186"/>
    <mergeCell ref="BF176:BF186"/>
    <mergeCell ref="BG176:BG186"/>
    <mergeCell ref="BH176:BH186"/>
    <mergeCell ref="J176:J186"/>
    <mergeCell ref="K176:K186"/>
    <mergeCell ref="L176:L186"/>
    <mergeCell ref="M176:M186"/>
    <mergeCell ref="N176:N186"/>
    <mergeCell ref="O176:O186"/>
    <mergeCell ref="P176:P186"/>
    <mergeCell ref="R176:R186"/>
    <mergeCell ref="S176:S186"/>
    <mergeCell ref="U176:U186"/>
    <mergeCell ref="V176:V186"/>
    <mergeCell ref="W176:W186"/>
    <mergeCell ref="X176:X186"/>
    <mergeCell ref="Y176:Y186"/>
    <mergeCell ref="Z176:Z186"/>
    <mergeCell ref="AA176:AA186"/>
    <mergeCell ref="AB176:AB186"/>
    <mergeCell ref="AC176:AC186"/>
    <mergeCell ref="AD176:AD186"/>
    <mergeCell ref="AE176:AE186"/>
    <mergeCell ref="AF176:AF186"/>
    <mergeCell ref="AG176:AG186"/>
    <mergeCell ref="AH176:AH186"/>
    <mergeCell ref="AI176:AI186"/>
    <mergeCell ref="AJ176:AJ186"/>
    <mergeCell ref="AK176:AK186"/>
    <mergeCell ref="AL176:AL186"/>
    <mergeCell ref="AM176:AM186"/>
    <mergeCell ref="AN176:AN186"/>
    <mergeCell ref="AO176:AO186"/>
    <mergeCell ref="AP176:AP186"/>
    <mergeCell ref="AQ176:AQ186"/>
    <mergeCell ref="AR176:AR186"/>
    <mergeCell ref="AS176:AS186"/>
    <mergeCell ref="AT176:AT186"/>
    <mergeCell ref="AU176:AU186"/>
    <mergeCell ref="AV176:AV186"/>
    <mergeCell ref="AW176:AW186"/>
    <mergeCell ref="AX176:AX186"/>
    <mergeCell ref="AY176:AY186"/>
    <mergeCell ref="AZ176:AZ186"/>
    <mergeCell ref="BA176:BA186"/>
    <mergeCell ref="A176:A186"/>
    <mergeCell ref="B176:B186"/>
    <mergeCell ref="C176:C186"/>
    <mergeCell ref="D176:D186"/>
    <mergeCell ref="F176:F186"/>
    <mergeCell ref="H176:H186"/>
    <mergeCell ref="I176:I186"/>
    <mergeCell ref="BI187:BI194"/>
    <mergeCell ref="BJ187:BJ194"/>
    <mergeCell ref="BB187:BB194"/>
    <mergeCell ref="BC187:BC194"/>
    <mergeCell ref="BD187:BD194"/>
    <mergeCell ref="BE187:BE194"/>
    <mergeCell ref="BF187:BF194"/>
    <mergeCell ref="BG187:BG194"/>
    <mergeCell ref="BH187:BH194"/>
    <mergeCell ref="J187:J194"/>
    <mergeCell ref="K187:K194"/>
    <mergeCell ref="L187:L194"/>
    <mergeCell ref="M187:M194"/>
    <mergeCell ref="N187:N194"/>
    <mergeCell ref="O187:O194"/>
    <mergeCell ref="P187:P194"/>
    <mergeCell ref="R187:R194"/>
    <mergeCell ref="S187:S194"/>
    <mergeCell ref="U187:U194"/>
    <mergeCell ref="V187:V194"/>
    <mergeCell ref="W187:W194"/>
    <mergeCell ref="X187:X194"/>
    <mergeCell ref="Y187:Y194"/>
    <mergeCell ref="Z187:Z194"/>
    <mergeCell ref="AA187:AA194"/>
    <mergeCell ref="AB187:AB194"/>
    <mergeCell ref="AC187:AC194"/>
    <mergeCell ref="AD187:AD194"/>
    <mergeCell ref="AE187:AE194"/>
    <mergeCell ref="AF187:AF194"/>
    <mergeCell ref="AG187:AG194"/>
    <mergeCell ref="AH187:AH194"/>
    <mergeCell ref="AI187:AI194"/>
    <mergeCell ref="AJ187:AJ194"/>
    <mergeCell ref="AK187:AK194"/>
    <mergeCell ref="AL187:AL194"/>
    <mergeCell ref="AM187:AM194"/>
    <mergeCell ref="AN187:AN194"/>
    <mergeCell ref="AO187:AO194"/>
    <mergeCell ref="AP187:AP194"/>
    <mergeCell ref="AQ187:AQ194"/>
    <mergeCell ref="AR187:AR194"/>
    <mergeCell ref="AS187:AS194"/>
    <mergeCell ref="AT187:AT194"/>
    <mergeCell ref="AU187:AU194"/>
    <mergeCell ref="AV187:AV194"/>
    <mergeCell ref="AW187:AW194"/>
    <mergeCell ref="AX187:AX194"/>
    <mergeCell ref="AY187:AY194"/>
    <mergeCell ref="AZ187:AZ194"/>
    <mergeCell ref="BA187:BA194"/>
    <mergeCell ref="A187:A194"/>
    <mergeCell ref="B187:B194"/>
    <mergeCell ref="C187:C194"/>
    <mergeCell ref="D187:D194"/>
    <mergeCell ref="F187:F194"/>
    <mergeCell ref="H187:H194"/>
    <mergeCell ref="I187:I194"/>
    <mergeCell ref="BI306:BI316"/>
    <mergeCell ref="BJ306:BJ316"/>
    <mergeCell ref="BB306:BB316"/>
    <mergeCell ref="BC306:BC316"/>
    <mergeCell ref="BD306:BD316"/>
    <mergeCell ref="BE306:BE316"/>
    <mergeCell ref="BF306:BF316"/>
    <mergeCell ref="BG306:BG316"/>
    <mergeCell ref="BH306:BH316"/>
    <mergeCell ref="J306:J316"/>
    <mergeCell ref="K306:K316"/>
    <mergeCell ref="L306:L316"/>
    <mergeCell ref="M306:M316"/>
    <mergeCell ref="N306:N316"/>
    <mergeCell ref="O306:O316"/>
    <mergeCell ref="P306:P316"/>
    <mergeCell ref="R306:R316"/>
    <mergeCell ref="S306:S316"/>
    <mergeCell ref="U306:U316"/>
    <mergeCell ref="V306:V316"/>
    <mergeCell ref="W306:W316"/>
    <mergeCell ref="X306:X316"/>
    <mergeCell ref="Y306:Y316"/>
    <mergeCell ref="Z306:Z316"/>
    <mergeCell ref="AA306:AA316"/>
    <mergeCell ref="AB306:AB316"/>
    <mergeCell ref="AC306:AC316"/>
    <mergeCell ref="AD306:AD316"/>
    <mergeCell ref="AE306:AE316"/>
    <mergeCell ref="AF306:AF316"/>
    <mergeCell ref="AG306:AG316"/>
    <mergeCell ref="AH306:AH316"/>
    <mergeCell ref="AI306:AI316"/>
    <mergeCell ref="AJ306:AJ316"/>
    <mergeCell ref="AK306:AK316"/>
    <mergeCell ref="AL306:AL316"/>
    <mergeCell ref="AM306:AM316"/>
    <mergeCell ref="AN306:AN316"/>
    <mergeCell ref="AO306:AO316"/>
    <mergeCell ref="AP306:AP316"/>
    <mergeCell ref="AQ306:AQ316"/>
    <mergeCell ref="AR306:AR316"/>
    <mergeCell ref="AS306:AS316"/>
    <mergeCell ref="AT306:AT316"/>
    <mergeCell ref="AU306:AU316"/>
    <mergeCell ref="AV306:AV316"/>
    <mergeCell ref="AW306:AW316"/>
    <mergeCell ref="AX306:AX316"/>
    <mergeCell ref="AY306:AY316"/>
    <mergeCell ref="AZ306:AZ316"/>
    <mergeCell ref="BA306:BA316"/>
    <mergeCell ref="A306:A316"/>
    <mergeCell ref="B306:B316"/>
    <mergeCell ref="C306:C316"/>
    <mergeCell ref="D306:D316"/>
    <mergeCell ref="F306:F316"/>
    <mergeCell ref="H306:H316"/>
    <mergeCell ref="I306:I316"/>
    <mergeCell ref="AG325:AG332"/>
    <mergeCell ref="AH325:AH332"/>
    <mergeCell ref="Z325:Z332"/>
    <mergeCell ref="AA325:AA332"/>
    <mergeCell ref="AB325:AB332"/>
    <mergeCell ref="AC325:AC332"/>
    <mergeCell ref="AD325:AD332"/>
    <mergeCell ref="AE325:AE332"/>
    <mergeCell ref="AF325:AF332"/>
    <mergeCell ref="AP325:AP332"/>
    <mergeCell ref="AQ325:AQ332"/>
    <mergeCell ref="AI325:AI332"/>
    <mergeCell ref="AJ325:AJ332"/>
    <mergeCell ref="AK325:AK332"/>
    <mergeCell ref="AL325:AL332"/>
    <mergeCell ref="AM325:AM332"/>
    <mergeCell ref="AN325:AN332"/>
    <mergeCell ref="AO325:AO332"/>
    <mergeCell ref="AY325:AY332"/>
    <mergeCell ref="AZ325:AZ332"/>
    <mergeCell ref="AR325:AR332"/>
    <mergeCell ref="AS325:AS332"/>
    <mergeCell ref="AT325:AT332"/>
    <mergeCell ref="AU325:AU332"/>
    <mergeCell ref="AV325:AV332"/>
    <mergeCell ref="AW325:AW332"/>
    <mergeCell ref="AX325:AX332"/>
    <mergeCell ref="AO333:AO337"/>
    <mergeCell ref="AP333:AP337"/>
    <mergeCell ref="AQ333:AQ337"/>
    <mergeCell ref="AR333:AR337"/>
    <mergeCell ref="AS333:AS337"/>
    <mergeCell ref="AT333:AT337"/>
    <mergeCell ref="AU333:AU337"/>
    <mergeCell ref="AV333:AV337"/>
    <mergeCell ref="AW333:AW337"/>
    <mergeCell ref="AX333:AX337"/>
    <mergeCell ref="AY333:AY337"/>
    <mergeCell ref="AZ333:AZ337"/>
    <mergeCell ref="BA333:BA337"/>
    <mergeCell ref="BB333:BB337"/>
    <mergeCell ref="BJ333:BJ337"/>
    <mergeCell ref="F338:BJ338"/>
    <mergeCell ref="BC333:BC337"/>
    <mergeCell ref="BD333:BD337"/>
    <mergeCell ref="BE333:BE337"/>
    <mergeCell ref="BF333:BF337"/>
    <mergeCell ref="BG333:BG337"/>
    <mergeCell ref="BH333:BH337"/>
    <mergeCell ref="BI333:BI337"/>
    <mergeCell ref="AM339:AM351"/>
    <mergeCell ref="AN339:AN351"/>
    <mergeCell ref="AO339:AO351"/>
    <mergeCell ref="AP339:AP351"/>
    <mergeCell ref="AQ339:AQ351"/>
    <mergeCell ref="AR339:AR351"/>
    <mergeCell ref="AS339:AS351"/>
    <mergeCell ref="AT339:AT351"/>
    <mergeCell ref="AU339:AU351"/>
    <mergeCell ref="AV339:AV351"/>
    <mergeCell ref="AW339:AW351"/>
    <mergeCell ref="AX339:AX351"/>
    <mergeCell ref="AY339:AY351"/>
    <mergeCell ref="AZ339:AZ351"/>
    <mergeCell ref="BH339:BH351"/>
    <mergeCell ref="BI339:BI351"/>
    <mergeCell ref="BJ339:BJ351"/>
    <mergeCell ref="BA339:BA351"/>
    <mergeCell ref="BB339:BB351"/>
    <mergeCell ref="BC339:BC351"/>
    <mergeCell ref="BD339:BD351"/>
    <mergeCell ref="BE339:BE351"/>
    <mergeCell ref="BF339:BF351"/>
    <mergeCell ref="BG339:BG351"/>
    <mergeCell ref="J325:J332"/>
    <mergeCell ref="K325:K332"/>
    <mergeCell ref="L325:L332"/>
    <mergeCell ref="M325:M332"/>
    <mergeCell ref="N325:N332"/>
    <mergeCell ref="O325:O332"/>
    <mergeCell ref="P325:P332"/>
    <mergeCell ref="A325:A332"/>
    <mergeCell ref="B325:B332"/>
    <mergeCell ref="C325:C332"/>
    <mergeCell ref="D325:D332"/>
    <mergeCell ref="G325:G332"/>
    <mergeCell ref="H325:H332"/>
    <mergeCell ref="I325:I332"/>
    <mergeCell ref="A333:A337"/>
    <mergeCell ref="B333:B337"/>
    <mergeCell ref="C333:C337"/>
    <mergeCell ref="D333:D337"/>
    <mergeCell ref="G333:G337"/>
    <mergeCell ref="H333:H337"/>
    <mergeCell ref="I333:I337"/>
    <mergeCell ref="B338:E338"/>
    <mergeCell ref="J333:J337"/>
    <mergeCell ref="K333:K337"/>
    <mergeCell ref="L333:L337"/>
    <mergeCell ref="N333:N337"/>
    <mergeCell ref="O333:O337"/>
    <mergeCell ref="P333:P337"/>
    <mergeCell ref="R333:R337"/>
    <mergeCell ref="S333:S337"/>
    <mergeCell ref="U333:U337"/>
    <mergeCell ref="V333:V337"/>
    <mergeCell ref="W333:W337"/>
    <mergeCell ref="X333:X337"/>
    <mergeCell ref="Y333:Y337"/>
    <mergeCell ref="Z333:Z337"/>
    <mergeCell ref="AA333:AA337"/>
    <mergeCell ref="AB333:AB337"/>
    <mergeCell ref="AC333:AC337"/>
    <mergeCell ref="AD333:AD337"/>
    <mergeCell ref="AE333:AE337"/>
    <mergeCell ref="AF333:AF337"/>
    <mergeCell ref="AG333:AG337"/>
    <mergeCell ref="AH333:AH337"/>
    <mergeCell ref="AI333:AI337"/>
    <mergeCell ref="AJ333:AJ337"/>
    <mergeCell ref="AK333:AK337"/>
    <mergeCell ref="AL333:AL337"/>
    <mergeCell ref="AM333:AM337"/>
    <mergeCell ref="AN333:AN337"/>
    <mergeCell ref="J317:J324"/>
    <mergeCell ref="K317:K324"/>
    <mergeCell ref="M317:M324"/>
    <mergeCell ref="N317:N324"/>
    <mergeCell ref="P317:P324"/>
    <mergeCell ref="R317:R324"/>
    <mergeCell ref="S317:S324"/>
    <mergeCell ref="A317:A324"/>
    <mergeCell ref="B317:B324"/>
    <mergeCell ref="C317:C324"/>
    <mergeCell ref="D317:D324"/>
    <mergeCell ref="G317:G324"/>
    <mergeCell ref="H317:H324"/>
    <mergeCell ref="I317:I324"/>
    <mergeCell ref="J339:J351"/>
    <mergeCell ref="K339:K351"/>
    <mergeCell ref="L339:L351"/>
    <mergeCell ref="N339:N351"/>
    <mergeCell ref="O339:O351"/>
    <mergeCell ref="P339:P351"/>
    <mergeCell ref="Q339:Q351"/>
    <mergeCell ref="R339:R351"/>
    <mergeCell ref="S339:S351"/>
    <mergeCell ref="T339:T351"/>
    <mergeCell ref="U339:U351"/>
    <mergeCell ref="V339:V351"/>
    <mergeCell ref="W339:W351"/>
    <mergeCell ref="X339:X351"/>
    <mergeCell ref="Y339:Y351"/>
    <mergeCell ref="Z339:Z351"/>
    <mergeCell ref="AA339:AA351"/>
    <mergeCell ref="AB339:AB351"/>
    <mergeCell ref="AC339:AC351"/>
    <mergeCell ref="AD339:AD351"/>
    <mergeCell ref="AE339:AE351"/>
    <mergeCell ref="AF339:AF351"/>
    <mergeCell ref="AG339:AG351"/>
    <mergeCell ref="AH339:AH351"/>
    <mergeCell ref="AI339:AI351"/>
    <mergeCell ref="AJ339:AJ351"/>
    <mergeCell ref="AK339:AK351"/>
    <mergeCell ref="AL339:AL351"/>
    <mergeCell ref="A339:A351"/>
    <mergeCell ref="B339:B351"/>
    <mergeCell ref="C339:C351"/>
    <mergeCell ref="D339:D351"/>
    <mergeCell ref="F339:F351"/>
    <mergeCell ref="H339:H351"/>
    <mergeCell ref="I339:I351"/>
    <mergeCell ref="BI352:BI364"/>
    <mergeCell ref="BJ352:BJ364"/>
    <mergeCell ref="BB352:BB364"/>
    <mergeCell ref="BC352:BC364"/>
    <mergeCell ref="BD352:BD364"/>
    <mergeCell ref="BE352:BE364"/>
    <mergeCell ref="BF352:BF364"/>
    <mergeCell ref="BG352:BG364"/>
    <mergeCell ref="BH352:BH364"/>
    <mergeCell ref="J352:J364"/>
    <mergeCell ref="K352:K364"/>
    <mergeCell ref="L352:L364"/>
    <mergeCell ref="M352:M364"/>
    <mergeCell ref="N352:N364"/>
    <mergeCell ref="O352:O364"/>
    <mergeCell ref="P352:P364"/>
    <mergeCell ref="R352:R364"/>
    <mergeCell ref="S352:S364"/>
    <mergeCell ref="U352:U364"/>
    <mergeCell ref="V352:V364"/>
    <mergeCell ref="W352:W364"/>
    <mergeCell ref="X352:X364"/>
    <mergeCell ref="Y352:Y364"/>
    <mergeCell ref="Z352:Z364"/>
    <mergeCell ref="AA352:AA364"/>
    <mergeCell ref="AB352:AB364"/>
    <mergeCell ref="AC352:AC364"/>
    <mergeCell ref="AD352:AD364"/>
    <mergeCell ref="AE352:AE364"/>
    <mergeCell ref="AF352:AF364"/>
    <mergeCell ref="AG352:AG364"/>
    <mergeCell ref="AH352:AH364"/>
    <mergeCell ref="AI352:AI364"/>
    <mergeCell ref="AJ352:AJ364"/>
    <mergeCell ref="AK352:AK364"/>
    <mergeCell ref="AL352:AL364"/>
    <mergeCell ref="AM352:AM364"/>
    <mergeCell ref="AN352:AN364"/>
    <mergeCell ref="AO352:AO364"/>
    <mergeCell ref="AP352:AP364"/>
    <mergeCell ref="AQ352:AQ364"/>
    <mergeCell ref="AR352:AR364"/>
    <mergeCell ref="AS352:AS364"/>
    <mergeCell ref="AT352:AT364"/>
    <mergeCell ref="AU352:AU364"/>
    <mergeCell ref="AV352:AV364"/>
    <mergeCell ref="AW352:AW364"/>
    <mergeCell ref="AX352:AX364"/>
    <mergeCell ref="AY352:AY364"/>
    <mergeCell ref="AZ352:AZ364"/>
    <mergeCell ref="BA352:BA364"/>
    <mergeCell ref="A352:A364"/>
    <mergeCell ref="B352:B364"/>
    <mergeCell ref="C352:C364"/>
    <mergeCell ref="D352:D364"/>
    <mergeCell ref="G352:G364"/>
    <mergeCell ref="H352:H364"/>
    <mergeCell ref="I352:I364"/>
    <mergeCell ref="BI365:BI375"/>
    <mergeCell ref="BJ365:BJ375"/>
    <mergeCell ref="BB365:BB375"/>
    <mergeCell ref="BC365:BC375"/>
    <mergeCell ref="BD365:BD375"/>
    <mergeCell ref="BE365:BE375"/>
    <mergeCell ref="BF365:BF375"/>
    <mergeCell ref="BG365:BG375"/>
    <mergeCell ref="BH365:BH375"/>
    <mergeCell ref="J365:J375"/>
    <mergeCell ref="K365:K375"/>
    <mergeCell ref="L365:L375"/>
    <mergeCell ref="M365:M375"/>
    <mergeCell ref="N365:N375"/>
    <mergeCell ref="O365:O375"/>
    <mergeCell ref="P365:P375"/>
    <mergeCell ref="R365:R375"/>
    <mergeCell ref="S365:S375"/>
    <mergeCell ref="U365:U375"/>
    <mergeCell ref="V365:V375"/>
    <mergeCell ref="W365:W375"/>
    <mergeCell ref="X365:X375"/>
    <mergeCell ref="Y365:Y375"/>
    <mergeCell ref="Z365:Z375"/>
    <mergeCell ref="AA365:AA375"/>
    <mergeCell ref="AB365:AB375"/>
    <mergeCell ref="AC365:AC375"/>
    <mergeCell ref="AD365:AD375"/>
    <mergeCell ref="AE365:AE375"/>
    <mergeCell ref="AF365:AF375"/>
    <mergeCell ref="AG365:AG375"/>
    <mergeCell ref="AH365:AH375"/>
    <mergeCell ref="AI365:AI375"/>
    <mergeCell ref="AJ365:AJ375"/>
    <mergeCell ref="AK365:AK375"/>
    <mergeCell ref="AL365:AL375"/>
    <mergeCell ref="AM365:AM375"/>
    <mergeCell ref="AN365:AN375"/>
    <mergeCell ref="AO365:AO375"/>
    <mergeCell ref="AP365:AP375"/>
    <mergeCell ref="AQ365:AQ375"/>
    <mergeCell ref="AR365:AR375"/>
    <mergeCell ref="AS365:AS375"/>
    <mergeCell ref="AT365:AT375"/>
    <mergeCell ref="AU365:AU375"/>
    <mergeCell ref="AV365:AV375"/>
    <mergeCell ref="AW365:AW375"/>
    <mergeCell ref="AX365:AX375"/>
    <mergeCell ref="AY365:AY375"/>
    <mergeCell ref="AZ365:AZ375"/>
    <mergeCell ref="BA365:BA375"/>
    <mergeCell ref="A365:A375"/>
    <mergeCell ref="B365:B375"/>
    <mergeCell ref="C365:C375"/>
    <mergeCell ref="D365:D375"/>
    <mergeCell ref="G365:G375"/>
    <mergeCell ref="H365:H375"/>
    <mergeCell ref="I365:I375"/>
    <mergeCell ref="A392:A396"/>
    <mergeCell ref="B392:B396"/>
    <mergeCell ref="C392:C396"/>
    <mergeCell ref="D392:D396"/>
    <mergeCell ref="F392:F396"/>
    <mergeCell ref="H392:H396"/>
    <mergeCell ref="I392:I396"/>
    <mergeCell ref="J392:J396"/>
    <mergeCell ref="K392:K396"/>
    <mergeCell ref="L392:L396"/>
    <mergeCell ref="M392:M396"/>
    <mergeCell ref="N392:N396"/>
    <mergeCell ref="O392:O396"/>
    <mergeCell ref="P392:P396"/>
    <mergeCell ref="U392:U396"/>
    <mergeCell ref="V392:V396"/>
    <mergeCell ref="W392:W396"/>
    <mergeCell ref="X392:X396"/>
    <mergeCell ref="Y392:Y396"/>
    <mergeCell ref="Z392:Z396"/>
    <mergeCell ref="AA392:AA396"/>
    <mergeCell ref="AB392:AB396"/>
    <mergeCell ref="AC392:AC396"/>
    <mergeCell ref="AD392:AD396"/>
    <mergeCell ref="AE392:AE396"/>
    <mergeCell ref="AF392:AF396"/>
    <mergeCell ref="AG392:AG396"/>
    <mergeCell ref="AH392:AH396"/>
    <mergeCell ref="AI392:AI396"/>
    <mergeCell ref="AJ392:AJ396"/>
    <mergeCell ref="AK392:AK396"/>
    <mergeCell ref="AL392:AL396"/>
    <mergeCell ref="AM392:AM396"/>
    <mergeCell ref="AN392:AN396"/>
    <mergeCell ref="AO392:AO396"/>
    <mergeCell ref="AP392:AP396"/>
    <mergeCell ref="AQ392:AQ396"/>
    <mergeCell ref="AR392:AR396"/>
    <mergeCell ref="AS392:AS396"/>
    <mergeCell ref="AT392:AT396"/>
    <mergeCell ref="AU392:AU396"/>
    <mergeCell ref="AV392:AV396"/>
    <mergeCell ref="BD392:BD396"/>
    <mergeCell ref="BE392:BE396"/>
    <mergeCell ref="BF392:BF396"/>
    <mergeCell ref="BG392:BG396"/>
    <mergeCell ref="BH392:BH396"/>
    <mergeCell ref="BI392:BI396"/>
    <mergeCell ref="BJ392:BJ396"/>
    <mergeCell ref="AW392:AW396"/>
    <mergeCell ref="AX392:AX396"/>
    <mergeCell ref="AY392:AY396"/>
    <mergeCell ref="AZ392:AZ396"/>
    <mergeCell ref="BA392:BA396"/>
    <mergeCell ref="BB392:BB396"/>
    <mergeCell ref="BC392:BC396"/>
    <mergeCell ref="BG195:BG202"/>
    <mergeCell ref="BH195:BH202"/>
    <mergeCell ref="BI195:BI202"/>
    <mergeCell ref="BJ195:BJ202"/>
    <mergeCell ref="AZ195:AZ202"/>
    <mergeCell ref="BA195:BA202"/>
    <mergeCell ref="BB195:BB202"/>
    <mergeCell ref="BC195:BC202"/>
    <mergeCell ref="BD195:BD202"/>
    <mergeCell ref="BE195:BE202"/>
    <mergeCell ref="BF195:BF202"/>
    <mergeCell ref="Y204:Y216"/>
    <mergeCell ref="Z204:Z216"/>
    <mergeCell ref="P204:P216"/>
    <mergeCell ref="R204:R216"/>
    <mergeCell ref="S204:S216"/>
    <mergeCell ref="U204:U216"/>
    <mergeCell ref="V204:V216"/>
    <mergeCell ref="W204:W216"/>
    <mergeCell ref="X204:X216"/>
    <mergeCell ref="AH204:AH216"/>
    <mergeCell ref="AI204:AI216"/>
    <mergeCell ref="AA204:AA216"/>
    <mergeCell ref="AB204:AB216"/>
    <mergeCell ref="AC204:AC216"/>
    <mergeCell ref="AD204:AD216"/>
    <mergeCell ref="AE204:AE216"/>
    <mergeCell ref="AF204:AF216"/>
    <mergeCell ref="AG204:AG216"/>
    <mergeCell ref="AQ204:AQ216"/>
    <mergeCell ref="AR204:AR216"/>
    <mergeCell ref="AJ204:AJ216"/>
    <mergeCell ref="AK204:AK216"/>
    <mergeCell ref="AL204:AL216"/>
    <mergeCell ref="AM204:AM216"/>
    <mergeCell ref="AN204:AN216"/>
    <mergeCell ref="AO204:AO216"/>
    <mergeCell ref="AP204:AP216"/>
    <mergeCell ref="AZ204:AZ216"/>
    <mergeCell ref="BA204:BA216"/>
    <mergeCell ref="AS204:AS216"/>
    <mergeCell ref="AT204:AT216"/>
    <mergeCell ref="AU204:AU216"/>
    <mergeCell ref="AV204:AV216"/>
    <mergeCell ref="AW204:AW216"/>
    <mergeCell ref="AX204:AX216"/>
    <mergeCell ref="AY204:AY216"/>
    <mergeCell ref="BI204:BI216"/>
    <mergeCell ref="BJ204:BJ216"/>
    <mergeCell ref="BB204:BB216"/>
    <mergeCell ref="BC204:BC216"/>
    <mergeCell ref="BD204:BD216"/>
    <mergeCell ref="BE204:BE216"/>
    <mergeCell ref="BF204:BF216"/>
    <mergeCell ref="BG204:BG216"/>
    <mergeCell ref="BH204:BH216"/>
    <mergeCell ref="AU217:AU229"/>
    <mergeCell ref="AV217:AV229"/>
    <mergeCell ref="AN217:AN229"/>
    <mergeCell ref="AO217:AO229"/>
    <mergeCell ref="AP217:AP229"/>
    <mergeCell ref="AQ217:AQ229"/>
    <mergeCell ref="AR217:AR229"/>
    <mergeCell ref="AS217:AS229"/>
    <mergeCell ref="AT217:AT229"/>
    <mergeCell ref="K241:K251"/>
    <mergeCell ref="L241:L251"/>
    <mergeCell ref="M241:M251"/>
    <mergeCell ref="N241:N251"/>
    <mergeCell ref="O241:O251"/>
    <mergeCell ref="P241:P251"/>
    <mergeCell ref="Q241:Q251"/>
    <mergeCell ref="A241:A251"/>
    <mergeCell ref="B241:B251"/>
    <mergeCell ref="C241:C251"/>
    <mergeCell ref="D241:D251"/>
    <mergeCell ref="G241:G251"/>
    <mergeCell ref="H241:H251"/>
    <mergeCell ref="J241:J251"/>
    <mergeCell ref="AJ252:AJ259"/>
    <mergeCell ref="AK252:AK259"/>
    <mergeCell ref="AC252:AC259"/>
    <mergeCell ref="AD252:AD259"/>
    <mergeCell ref="AE252:AE259"/>
    <mergeCell ref="AF252:AF259"/>
    <mergeCell ref="AG252:AG259"/>
    <mergeCell ref="AH252:AH259"/>
    <mergeCell ref="AI252:AI259"/>
    <mergeCell ref="AS252:AS259"/>
    <mergeCell ref="AT252:AT259"/>
    <mergeCell ref="AL252:AL259"/>
    <mergeCell ref="AM252:AM259"/>
    <mergeCell ref="AN252:AN259"/>
    <mergeCell ref="AO252:AO259"/>
    <mergeCell ref="AP252:AP259"/>
    <mergeCell ref="AQ252:AQ259"/>
    <mergeCell ref="AR252:AR259"/>
    <mergeCell ref="BB252:BB259"/>
    <mergeCell ref="BC252:BC259"/>
    <mergeCell ref="AU252:AU259"/>
    <mergeCell ref="AV252:AV259"/>
    <mergeCell ref="AW252:AW259"/>
    <mergeCell ref="AX252:AX259"/>
    <mergeCell ref="AY252:AY259"/>
    <mergeCell ref="AZ252:AZ259"/>
    <mergeCell ref="BA252:BA259"/>
    <mergeCell ref="AV241:AV251"/>
    <mergeCell ref="AW241:AW251"/>
    <mergeCell ref="AX241:AX251"/>
    <mergeCell ref="AY241:AY251"/>
    <mergeCell ref="AZ241:AZ251"/>
    <mergeCell ref="BA241:BA251"/>
    <mergeCell ref="BB241:BB251"/>
    <mergeCell ref="A252:A259"/>
    <mergeCell ref="B252:B259"/>
    <mergeCell ref="C252:C259"/>
    <mergeCell ref="D252:D259"/>
    <mergeCell ref="F252:F259"/>
    <mergeCell ref="H252:H259"/>
    <mergeCell ref="I252:I259"/>
    <mergeCell ref="R241:R251"/>
    <mergeCell ref="S241:S251"/>
    <mergeCell ref="U241:U251"/>
    <mergeCell ref="V241:V251"/>
    <mergeCell ref="W241:W251"/>
    <mergeCell ref="Y241:Y251"/>
    <mergeCell ref="Z241:Z251"/>
    <mergeCell ref="AA241:AA251"/>
    <mergeCell ref="AB241:AB251"/>
    <mergeCell ref="AC241:AC251"/>
    <mergeCell ref="AD241:AD251"/>
    <mergeCell ref="AE241:AE251"/>
    <mergeCell ref="AF241:AF251"/>
    <mergeCell ref="AG241:AG251"/>
    <mergeCell ref="AH241:AH251"/>
    <mergeCell ref="AI241:AI251"/>
    <mergeCell ref="AJ241:AJ251"/>
    <mergeCell ref="AK241:AK251"/>
    <mergeCell ref="AL241:AL251"/>
    <mergeCell ref="AM241:AM251"/>
    <mergeCell ref="AN241:AN251"/>
    <mergeCell ref="AO241:AO251"/>
    <mergeCell ref="AP241:AP251"/>
    <mergeCell ref="AQ241:AQ251"/>
    <mergeCell ref="AR241:AR251"/>
    <mergeCell ref="AS241:AS251"/>
    <mergeCell ref="AT241:AT251"/>
    <mergeCell ref="AU241:AU251"/>
    <mergeCell ref="BD241:BD251"/>
    <mergeCell ref="BD252:BD259"/>
    <mergeCell ref="BE252:BE259"/>
    <mergeCell ref="BF252:BF259"/>
    <mergeCell ref="BG252:BG259"/>
    <mergeCell ref="BH252:BH259"/>
    <mergeCell ref="BI252:BI259"/>
    <mergeCell ref="BJ252:BJ259"/>
    <mergeCell ref="BC241:BC251"/>
    <mergeCell ref="BE241:BE251"/>
    <mergeCell ref="BF241:BF251"/>
    <mergeCell ref="BG241:BG251"/>
    <mergeCell ref="BH241:BH251"/>
    <mergeCell ref="BI241:BI251"/>
    <mergeCell ref="BJ241:BJ251"/>
    <mergeCell ref="I195:I202"/>
    <mergeCell ref="J195:J202"/>
    <mergeCell ref="K195:K202"/>
    <mergeCell ref="L195:L202"/>
    <mergeCell ref="M195:M202"/>
    <mergeCell ref="N195:N202"/>
    <mergeCell ref="O195:O202"/>
    <mergeCell ref="P195:P202"/>
    <mergeCell ref="Q195:Q202"/>
    <mergeCell ref="R195:R202"/>
    <mergeCell ref="S195:S202"/>
    <mergeCell ref="T195:T202"/>
    <mergeCell ref="U195:U202"/>
    <mergeCell ref="V195:V202"/>
    <mergeCell ref="W195:W202"/>
    <mergeCell ref="Y195:Y202"/>
    <mergeCell ref="Z195:Z202"/>
    <mergeCell ref="AA195:AA202"/>
    <mergeCell ref="AB195:AB202"/>
    <mergeCell ref="AC195:AC202"/>
    <mergeCell ref="AD195:AD202"/>
    <mergeCell ref="F203:BJ203"/>
    <mergeCell ref="AL195:AL202"/>
    <mergeCell ref="AM195:AM202"/>
    <mergeCell ref="AN195:AN202"/>
    <mergeCell ref="AO195:AO202"/>
    <mergeCell ref="AP195:AP202"/>
    <mergeCell ref="AQ195:AQ202"/>
    <mergeCell ref="AR195:AR202"/>
    <mergeCell ref="I204:I216"/>
    <mergeCell ref="J204:J216"/>
    <mergeCell ref="K204:K216"/>
    <mergeCell ref="L204:L216"/>
    <mergeCell ref="M204:M216"/>
    <mergeCell ref="N204:N216"/>
    <mergeCell ref="O204:O216"/>
    <mergeCell ref="AE195:AE202"/>
    <mergeCell ref="AF195:AF202"/>
    <mergeCell ref="AG195:AG202"/>
    <mergeCell ref="AH195:AH202"/>
    <mergeCell ref="AI195:AI202"/>
    <mergeCell ref="AJ195:AJ202"/>
    <mergeCell ref="AK195:AK202"/>
    <mergeCell ref="AS195:AS202"/>
    <mergeCell ref="AT195:AT202"/>
    <mergeCell ref="AU195:AU202"/>
    <mergeCell ref="AV195:AV202"/>
    <mergeCell ref="AW195:AW202"/>
    <mergeCell ref="AX195:AX202"/>
    <mergeCell ref="AY195:AY202"/>
    <mergeCell ref="BD217:BD229"/>
    <mergeCell ref="BE217:BE229"/>
    <mergeCell ref="BF217:BF229"/>
    <mergeCell ref="BG217:BG229"/>
    <mergeCell ref="BH217:BH229"/>
    <mergeCell ref="BI217:BI229"/>
    <mergeCell ref="BJ217:BJ229"/>
    <mergeCell ref="AW217:AW229"/>
    <mergeCell ref="AX217:AX229"/>
    <mergeCell ref="AY217:AY229"/>
    <mergeCell ref="AZ217:AZ229"/>
    <mergeCell ref="BA217:BA229"/>
    <mergeCell ref="BB217:BB229"/>
    <mergeCell ref="BC217:BC229"/>
    <mergeCell ref="B195:B202"/>
    <mergeCell ref="C195:C202"/>
    <mergeCell ref="D195:D202"/>
    <mergeCell ref="F195:F202"/>
    <mergeCell ref="G195:G202"/>
    <mergeCell ref="H195:H202"/>
    <mergeCell ref="B203:E203"/>
    <mergeCell ref="A195:A202"/>
    <mergeCell ref="A204:A216"/>
    <mergeCell ref="B204:B216"/>
    <mergeCell ref="C204:C216"/>
    <mergeCell ref="D204:D216"/>
    <mergeCell ref="G204:G216"/>
    <mergeCell ref="H204:H216"/>
    <mergeCell ref="J217:J229"/>
    <mergeCell ref="K217:K229"/>
    <mergeCell ref="L217:L229"/>
    <mergeCell ref="M217:M229"/>
    <mergeCell ref="N217:N229"/>
    <mergeCell ref="O217:O229"/>
    <mergeCell ref="P217:P229"/>
    <mergeCell ref="R217:R229"/>
    <mergeCell ref="S217:S229"/>
    <mergeCell ref="U217:U229"/>
    <mergeCell ref="V217:V229"/>
    <mergeCell ref="W217:W229"/>
    <mergeCell ref="X217:X229"/>
    <mergeCell ref="Y217:Y229"/>
    <mergeCell ref="Z217:Z229"/>
    <mergeCell ref="AA217:AA229"/>
    <mergeCell ref="AB217:AB229"/>
    <mergeCell ref="AC217:AC229"/>
    <mergeCell ref="AD217:AD229"/>
    <mergeCell ref="AE217:AE229"/>
    <mergeCell ref="AF217:AF229"/>
    <mergeCell ref="AG217:AG229"/>
    <mergeCell ref="AH217:AH229"/>
    <mergeCell ref="AI217:AI229"/>
    <mergeCell ref="AJ217:AJ229"/>
    <mergeCell ref="AK217:AK229"/>
    <mergeCell ref="AL217:AL229"/>
    <mergeCell ref="AM217:AM229"/>
    <mergeCell ref="A217:A229"/>
    <mergeCell ref="B217:B229"/>
    <mergeCell ref="C217:C229"/>
    <mergeCell ref="D217:D229"/>
    <mergeCell ref="G217:G229"/>
    <mergeCell ref="H217:H229"/>
    <mergeCell ref="I217:I229"/>
    <mergeCell ref="BI230:BI240"/>
    <mergeCell ref="BJ230:BJ240"/>
    <mergeCell ref="BB230:BB240"/>
    <mergeCell ref="BC230:BC240"/>
    <mergeCell ref="BD230:BD240"/>
    <mergeCell ref="BE230:BE240"/>
    <mergeCell ref="BF230:BF240"/>
    <mergeCell ref="BG230:BG240"/>
    <mergeCell ref="BH230:BH240"/>
    <mergeCell ref="J230:J240"/>
    <mergeCell ref="K230:K240"/>
    <mergeCell ref="L230:L240"/>
    <mergeCell ref="M230:M240"/>
    <mergeCell ref="N230:N240"/>
    <mergeCell ref="O230:O240"/>
    <mergeCell ref="P230:P240"/>
    <mergeCell ref="R230:R240"/>
    <mergeCell ref="S230:S240"/>
    <mergeCell ref="U230:U240"/>
    <mergeCell ref="V230:V240"/>
    <mergeCell ref="W230:W240"/>
    <mergeCell ref="X230:X240"/>
    <mergeCell ref="Y230:Y240"/>
    <mergeCell ref="Z230:Z240"/>
    <mergeCell ref="AA230:AA240"/>
    <mergeCell ref="AB230:AB240"/>
    <mergeCell ref="AC230:AC240"/>
    <mergeCell ref="AD230:AD240"/>
    <mergeCell ref="AE230:AE240"/>
    <mergeCell ref="AF230:AF240"/>
    <mergeCell ref="AG230:AG240"/>
    <mergeCell ref="AH230:AH240"/>
    <mergeCell ref="AI230:AI240"/>
    <mergeCell ref="AJ230:AJ240"/>
    <mergeCell ref="AK230:AK240"/>
    <mergeCell ref="AL230:AL240"/>
    <mergeCell ref="AM230:AM240"/>
    <mergeCell ref="AN230:AN240"/>
    <mergeCell ref="AO230:AO240"/>
    <mergeCell ref="AP230:AP240"/>
    <mergeCell ref="AQ230:AQ240"/>
    <mergeCell ref="AR230:AR240"/>
    <mergeCell ref="AS230:AS240"/>
    <mergeCell ref="AT230:AT240"/>
    <mergeCell ref="AU230:AU240"/>
    <mergeCell ref="AV230:AV240"/>
    <mergeCell ref="AW230:AW240"/>
    <mergeCell ref="AX230:AX240"/>
    <mergeCell ref="AY230:AY240"/>
    <mergeCell ref="AZ230:AZ240"/>
    <mergeCell ref="BA230:BA240"/>
    <mergeCell ref="A230:A240"/>
    <mergeCell ref="B230:B240"/>
    <mergeCell ref="C230:C240"/>
    <mergeCell ref="D230:D240"/>
    <mergeCell ref="G230:G240"/>
    <mergeCell ref="H230:H240"/>
    <mergeCell ref="I230:I240"/>
    <mergeCell ref="AL260:AL267"/>
    <mergeCell ref="AM260:AM267"/>
    <mergeCell ref="AN260:AN267"/>
    <mergeCell ref="AO260:AO267"/>
    <mergeCell ref="AP260:AP267"/>
    <mergeCell ref="AQ260:AQ267"/>
    <mergeCell ref="AR260:AR267"/>
    <mergeCell ref="AS260:AS267"/>
    <mergeCell ref="AT260:AT267"/>
    <mergeCell ref="AU260:AU267"/>
    <mergeCell ref="AV260:AV267"/>
    <mergeCell ref="AW260:AW267"/>
    <mergeCell ref="AX260:AX267"/>
    <mergeCell ref="AY260:AY267"/>
    <mergeCell ref="BG260:BG267"/>
    <mergeCell ref="BH260:BH267"/>
    <mergeCell ref="BI260:BI267"/>
    <mergeCell ref="BJ260:BJ267"/>
    <mergeCell ref="AZ260:AZ267"/>
    <mergeCell ref="BA260:BA267"/>
    <mergeCell ref="BB260:BB267"/>
    <mergeCell ref="BC260:BC267"/>
    <mergeCell ref="BD260:BD267"/>
    <mergeCell ref="BE260:BE267"/>
    <mergeCell ref="BF260:BF267"/>
    <mergeCell ref="F268:BJ268"/>
    <mergeCell ref="B260:B267"/>
    <mergeCell ref="C260:C267"/>
    <mergeCell ref="D260:D267"/>
    <mergeCell ref="F260:F267"/>
    <mergeCell ref="G260:G267"/>
    <mergeCell ref="H260:H267"/>
    <mergeCell ref="B268:E268"/>
    <mergeCell ref="A260:A267"/>
    <mergeCell ref="A269:A281"/>
    <mergeCell ref="B269:B281"/>
    <mergeCell ref="C269:C281"/>
    <mergeCell ref="D269:D281"/>
    <mergeCell ref="F269:F281"/>
    <mergeCell ref="H269:H281"/>
    <mergeCell ref="AL269:AL281"/>
    <mergeCell ref="AM269:AM281"/>
    <mergeCell ref="AN269:AN281"/>
    <mergeCell ref="AO269:AO281"/>
    <mergeCell ref="AP269:AP281"/>
    <mergeCell ref="AQ269:AQ281"/>
    <mergeCell ref="AR269:AR281"/>
    <mergeCell ref="AS269:AS281"/>
    <mergeCell ref="AT269:AT281"/>
    <mergeCell ref="AU269:AU281"/>
    <mergeCell ref="AV269:AV281"/>
    <mergeCell ref="AW269:AW281"/>
    <mergeCell ref="AX269:AX281"/>
    <mergeCell ref="AY269:AY281"/>
    <mergeCell ref="BG269:BG281"/>
    <mergeCell ref="BH269:BH281"/>
    <mergeCell ref="BI269:BI281"/>
    <mergeCell ref="BJ269:BJ281"/>
    <mergeCell ref="AZ269:AZ281"/>
    <mergeCell ref="BA269:BA281"/>
    <mergeCell ref="BB269:BB281"/>
    <mergeCell ref="BC269:BC281"/>
    <mergeCell ref="BD269:BD281"/>
    <mergeCell ref="BE269:BE281"/>
    <mergeCell ref="BF269:BF281"/>
    <mergeCell ref="AA252:AA259"/>
    <mergeCell ref="AB252:AB259"/>
    <mergeCell ref="S252:S259"/>
    <mergeCell ref="T252:T259"/>
    <mergeCell ref="U252:U259"/>
    <mergeCell ref="V252:V259"/>
    <mergeCell ref="W252:W259"/>
    <mergeCell ref="Y252:Y259"/>
    <mergeCell ref="Z252:Z259"/>
    <mergeCell ref="AH269:AH281"/>
    <mergeCell ref="AI269:AI281"/>
    <mergeCell ref="AA269:AA281"/>
    <mergeCell ref="AB269:AB281"/>
    <mergeCell ref="AC269:AC281"/>
    <mergeCell ref="AD269:AD281"/>
    <mergeCell ref="AE269:AE281"/>
    <mergeCell ref="AF269:AF281"/>
    <mergeCell ref="AG269:AG281"/>
    <mergeCell ref="Q252:Q259"/>
    <mergeCell ref="R252:R259"/>
    <mergeCell ref="J252:J259"/>
    <mergeCell ref="K252:K259"/>
    <mergeCell ref="L252:L259"/>
    <mergeCell ref="M252:M259"/>
    <mergeCell ref="N252:N259"/>
    <mergeCell ref="O252:O259"/>
    <mergeCell ref="P252:P259"/>
    <mergeCell ref="I260:I267"/>
    <mergeCell ref="J260:J267"/>
    <mergeCell ref="K260:K267"/>
    <mergeCell ref="L260:L267"/>
    <mergeCell ref="M260:M267"/>
    <mergeCell ref="N260:N267"/>
    <mergeCell ref="O260:O267"/>
    <mergeCell ref="P260:P267"/>
    <mergeCell ref="Q260:Q267"/>
    <mergeCell ref="R260:R267"/>
    <mergeCell ref="S260:S267"/>
    <mergeCell ref="T260:T267"/>
    <mergeCell ref="U260:U267"/>
    <mergeCell ref="V260:V267"/>
    <mergeCell ref="I269:I281"/>
    <mergeCell ref="J269:J281"/>
    <mergeCell ref="K269:K281"/>
    <mergeCell ref="L269:L281"/>
    <mergeCell ref="M269:M281"/>
    <mergeCell ref="N269:N281"/>
    <mergeCell ref="O269:O281"/>
    <mergeCell ref="W260:W267"/>
    <mergeCell ref="Y260:Y267"/>
    <mergeCell ref="Z260:Z267"/>
    <mergeCell ref="AA260:AA267"/>
    <mergeCell ref="AB260:AB267"/>
    <mergeCell ref="AC260:AC267"/>
    <mergeCell ref="AD260:AD267"/>
    <mergeCell ref="AJ269:AJ281"/>
    <mergeCell ref="AK269:AK281"/>
    <mergeCell ref="AE260:AE267"/>
    <mergeCell ref="AF260:AF267"/>
    <mergeCell ref="AG260:AG267"/>
    <mergeCell ref="AH260:AH267"/>
    <mergeCell ref="AI260:AI267"/>
    <mergeCell ref="AJ260:AJ267"/>
    <mergeCell ref="AK260:AK267"/>
    <mergeCell ref="AM282:AM294"/>
    <mergeCell ref="AN282:AN294"/>
    <mergeCell ref="AO282:AO294"/>
    <mergeCell ref="AP282:AP294"/>
    <mergeCell ref="AQ282:AQ294"/>
    <mergeCell ref="AR282:AR294"/>
    <mergeCell ref="AS282:AS294"/>
    <mergeCell ref="AT282:AT294"/>
    <mergeCell ref="AU282:AU294"/>
    <mergeCell ref="AV282:AV294"/>
    <mergeCell ref="AW282:AW294"/>
    <mergeCell ref="AX282:AX294"/>
    <mergeCell ref="AY282:AY294"/>
    <mergeCell ref="AZ282:AZ294"/>
    <mergeCell ref="BH282:BH294"/>
    <mergeCell ref="BI282:BI294"/>
    <mergeCell ref="BJ282:BJ294"/>
    <mergeCell ref="BA282:BA294"/>
    <mergeCell ref="BB282:BB294"/>
    <mergeCell ref="BC282:BC294"/>
    <mergeCell ref="BD282:BD294"/>
    <mergeCell ref="BE282:BE294"/>
    <mergeCell ref="BF282:BF294"/>
    <mergeCell ref="BG282:BG294"/>
    <mergeCell ref="Y269:Y281"/>
    <mergeCell ref="Z269:Z281"/>
    <mergeCell ref="P269:P281"/>
    <mergeCell ref="R269:R281"/>
    <mergeCell ref="S269:S281"/>
    <mergeCell ref="U269:U281"/>
    <mergeCell ref="V269:V281"/>
    <mergeCell ref="W269:W281"/>
    <mergeCell ref="X269:X281"/>
    <mergeCell ref="J282:J294"/>
    <mergeCell ref="K282:K294"/>
    <mergeCell ref="L282:L294"/>
    <mergeCell ref="M282:M294"/>
    <mergeCell ref="N282:N294"/>
    <mergeCell ref="O282:O294"/>
    <mergeCell ref="P282:P294"/>
    <mergeCell ref="Q282:Q294"/>
    <mergeCell ref="R282:R294"/>
    <mergeCell ref="S282:S294"/>
    <mergeCell ref="U282:U294"/>
    <mergeCell ref="V282:V294"/>
    <mergeCell ref="W282:W294"/>
    <mergeCell ref="X282:X294"/>
    <mergeCell ref="Y282:Y294"/>
    <mergeCell ref="Z282:Z294"/>
    <mergeCell ref="AA282:AA294"/>
    <mergeCell ref="AB282:AB294"/>
    <mergeCell ref="AC282:AC294"/>
    <mergeCell ref="AD282:AD294"/>
    <mergeCell ref="AE282:AE294"/>
    <mergeCell ref="AF282:AF294"/>
    <mergeCell ref="AG282:AG294"/>
    <mergeCell ref="AH282:AH294"/>
    <mergeCell ref="AI282:AI294"/>
    <mergeCell ref="AJ282:AJ294"/>
    <mergeCell ref="AK282:AK294"/>
    <mergeCell ref="AL282:AL294"/>
    <mergeCell ref="A282:A294"/>
    <mergeCell ref="B282:B294"/>
    <mergeCell ref="C282:C294"/>
    <mergeCell ref="D282:D294"/>
    <mergeCell ref="F282:F294"/>
    <mergeCell ref="H282:H294"/>
    <mergeCell ref="I282:I294"/>
    <mergeCell ref="BI295:BI305"/>
    <mergeCell ref="BJ295:BJ305"/>
    <mergeCell ref="BB295:BB305"/>
    <mergeCell ref="BC295:BC305"/>
    <mergeCell ref="BD295:BD305"/>
    <mergeCell ref="BE295:BE305"/>
    <mergeCell ref="BF295:BF305"/>
    <mergeCell ref="BG295:BG305"/>
    <mergeCell ref="BH295:BH305"/>
    <mergeCell ref="J295:J305"/>
    <mergeCell ref="K295:K305"/>
    <mergeCell ref="L295:L305"/>
    <mergeCell ref="M295:M305"/>
    <mergeCell ref="N295:N305"/>
    <mergeCell ref="O295:O305"/>
    <mergeCell ref="P295:P305"/>
    <mergeCell ref="R295:R305"/>
    <mergeCell ref="S295:S305"/>
    <mergeCell ref="U295:U305"/>
    <mergeCell ref="V295:V305"/>
    <mergeCell ref="W295:W305"/>
    <mergeCell ref="X295:X305"/>
    <mergeCell ref="Y295:Y305"/>
    <mergeCell ref="Z295:Z305"/>
    <mergeCell ref="AA295:AA305"/>
    <mergeCell ref="AB295:AB305"/>
    <mergeCell ref="AC295:AC305"/>
    <mergeCell ref="AD295:AD305"/>
    <mergeCell ref="AE295:AE305"/>
    <mergeCell ref="AF295:AF305"/>
    <mergeCell ref="AG295:AG305"/>
    <mergeCell ref="AH295:AH305"/>
    <mergeCell ref="AI295:AI305"/>
    <mergeCell ref="AJ295:AJ305"/>
    <mergeCell ref="AK295:AK305"/>
    <mergeCell ref="AL295:AL305"/>
    <mergeCell ref="AM295:AM305"/>
    <mergeCell ref="AN295:AN305"/>
    <mergeCell ref="AO295:AO305"/>
    <mergeCell ref="AP295:AP305"/>
    <mergeCell ref="AQ295:AQ305"/>
    <mergeCell ref="AR295:AR305"/>
    <mergeCell ref="AS295:AS305"/>
    <mergeCell ref="AT295:AT305"/>
    <mergeCell ref="AU295:AU305"/>
    <mergeCell ref="AV295:AV305"/>
    <mergeCell ref="AW295:AW305"/>
    <mergeCell ref="AX295:AX305"/>
    <mergeCell ref="AY295:AY305"/>
    <mergeCell ref="AZ295:AZ305"/>
    <mergeCell ref="BA295:BA305"/>
    <mergeCell ref="A295:A305"/>
    <mergeCell ref="B295:B305"/>
    <mergeCell ref="C295:C305"/>
    <mergeCell ref="D295:D305"/>
    <mergeCell ref="G295:G305"/>
    <mergeCell ref="H295:H305"/>
    <mergeCell ref="I295:I305"/>
    <mergeCell ref="BH325:BH332"/>
    <mergeCell ref="BI325:BI332"/>
    <mergeCell ref="BA325:BA332"/>
    <mergeCell ref="BB325:BB332"/>
    <mergeCell ref="BC325:BC332"/>
    <mergeCell ref="BD325:BD332"/>
    <mergeCell ref="BE325:BE332"/>
    <mergeCell ref="BF325:BF332"/>
    <mergeCell ref="BG325:BG332"/>
    <mergeCell ref="U317:U324"/>
    <mergeCell ref="V317:V324"/>
    <mergeCell ref="W317:W324"/>
    <mergeCell ref="X317:X324"/>
    <mergeCell ref="Y317:Y324"/>
    <mergeCell ref="Z317:Z324"/>
    <mergeCell ref="AA317:AA324"/>
    <mergeCell ref="AB317:AB324"/>
    <mergeCell ref="AC317:AC324"/>
    <mergeCell ref="AD317:AD324"/>
    <mergeCell ref="AE317:AE324"/>
    <mergeCell ref="AF317:AF324"/>
    <mergeCell ref="AG317:AG324"/>
    <mergeCell ref="AH317:AH324"/>
    <mergeCell ref="BD317:BD324"/>
    <mergeCell ref="BE317:BE324"/>
    <mergeCell ref="BF317:BF324"/>
    <mergeCell ref="BG317:BG324"/>
    <mergeCell ref="BH317:BH324"/>
    <mergeCell ref="BI317:BI324"/>
    <mergeCell ref="BJ317:BJ324"/>
    <mergeCell ref="BJ325:BJ332"/>
    <mergeCell ref="R325:R332"/>
    <mergeCell ref="S325:S332"/>
    <mergeCell ref="U325:U332"/>
    <mergeCell ref="V325:V332"/>
    <mergeCell ref="W325:W332"/>
    <mergeCell ref="X325:X332"/>
    <mergeCell ref="Y325:Y332"/>
    <mergeCell ref="AI317:AI324"/>
    <mergeCell ref="AJ317:AJ324"/>
    <mergeCell ref="AK317:AK324"/>
    <mergeCell ref="AL317:AL324"/>
    <mergeCell ref="AM317:AM324"/>
    <mergeCell ref="AN317:AN324"/>
    <mergeCell ref="AO317:AO324"/>
    <mergeCell ref="AP317:AP324"/>
    <mergeCell ref="AQ317:AQ324"/>
    <mergeCell ref="AR317:AR324"/>
    <mergeCell ref="AS317:AS324"/>
    <mergeCell ref="AT317:AT324"/>
    <mergeCell ref="AU317:AU324"/>
    <mergeCell ref="AV317:AV324"/>
    <mergeCell ref="AW317:AW324"/>
    <mergeCell ref="AX317:AX324"/>
    <mergeCell ref="AY317:AY324"/>
    <mergeCell ref="AZ317:AZ324"/>
    <mergeCell ref="BA317:BA324"/>
    <mergeCell ref="BB317:BB324"/>
    <mergeCell ref="BC317:BC324"/>
    <mergeCell ref="BH376:BH383"/>
    <mergeCell ref="BI376:BI383"/>
    <mergeCell ref="BJ376:BJ383"/>
    <mergeCell ref="BA376:BA383"/>
    <mergeCell ref="BB376:BB383"/>
    <mergeCell ref="BC376:BC383"/>
    <mergeCell ref="BD376:BD383"/>
    <mergeCell ref="BE376:BE383"/>
    <mergeCell ref="BF376:BF383"/>
    <mergeCell ref="BG376:BG383"/>
    <mergeCell ref="J376:J383"/>
    <mergeCell ref="K376:K383"/>
    <mergeCell ref="L376:L383"/>
    <mergeCell ref="M376:M383"/>
    <mergeCell ref="N376:N383"/>
    <mergeCell ref="O376:O383"/>
    <mergeCell ref="P376:P383"/>
    <mergeCell ref="Q376:Q383"/>
    <mergeCell ref="R376:R383"/>
    <mergeCell ref="S376:S383"/>
    <mergeCell ref="U376:U383"/>
    <mergeCell ref="V376:V383"/>
    <mergeCell ref="W376:W383"/>
    <mergeCell ref="X376:X383"/>
    <mergeCell ref="Y376:Y383"/>
    <mergeCell ref="Z376:Z383"/>
    <mergeCell ref="AA376:AA383"/>
    <mergeCell ref="AB376:AB383"/>
    <mergeCell ref="AC376:AC383"/>
    <mergeCell ref="AD376:AD383"/>
    <mergeCell ref="AE376:AE383"/>
    <mergeCell ref="AF376:AF383"/>
    <mergeCell ref="AG376:AG383"/>
    <mergeCell ref="AH376:AH383"/>
    <mergeCell ref="AI376:AI383"/>
    <mergeCell ref="AJ376:AJ383"/>
    <mergeCell ref="AK376:AK383"/>
    <mergeCell ref="AL376:AL383"/>
    <mergeCell ref="AM376:AM383"/>
    <mergeCell ref="AN376:AN383"/>
    <mergeCell ref="AO376:AO383"/>
    <mergeCell ref="AP376:AP383"/>
    <mergeCell ref="AQ376:AQ383"/>
    <mergeCell ref="AR376:AR383"/>
    <mergeCell ref="AS376:AS383"/>
    <mergeCell ref="AT376:AT383"/>
    <mergeCell ref="AU376:AU383"/>
    <mergeCell ref="AV376:AV383"/>
    <mergeCell ref="AW376:AW383"/>
    <mergeCell ref="AX376:AX383"/>
    <mergeCell ref="AY376:AY383"/>
    <mergeCell ref="AZ376:AZ383"/>
    <mergeCell ref="A376:A383"/>
    <mergeCell ref="B376:B383"/>
    <mergeCell ref="C376:C383"/>
    <mergeCell ref="D376:D383"/>
    <mergeCell ref="F376:F383"/>
    <mergeCell ref="H376:H383"/>
    <mergeCell ref="I376:I383"/>
    <mergeCell ref="R384:R391"/>
    <mergeCell ref="S384:S391"/>
    <mergeCell ref="U384:U391"/>
    <mergeCell ref="V384:V391"/>
    <mergeCell ref="W384:W391"/>
    <mergeCell ref="Y384:Y391"/>
    <mergeCell ref="Z384:Z391"/>
    <mergeCell ref="AA384:AA391"/>
    <mergeCell ref="AB384:AB391"/>
    <mergeCell ref="AC384:AC391"/>
    <mergeCell ref="AD384:AD391"/>
    <mergeCell ref="AE384:AE391"/>
    <mergeCell ref="AF384:AF391"/>
    <mergeCell ref="AG384:AG391"/>
    <mergeCell ref="AH384:AH391"/>
    <mergeCell ref="AI384:AI391"/>
    <mergeCell ref="AJ384:AJ391"/>
    <mergeCell ref="AK384:AK391"/>
    <mergeCell ref="AL384:AL391"/>
    <mergeCell ref="AM384:AM391"/>
    <mergeCell ref="AN384:AN391"/>
    <mergeCell ref="AO384:AO391"/>
    <mergeCell ref="AP384:AP391"/>
    <mergeCell ref="AQ384:AQ391"/>
    <mergeCell ref="AR384:AR391"/>
    <mergeCell ref="AS384:AS391"/>
    <mergeCell ref="AT384:AT391"/>
    <mergeCell ref="AU384:AU391"/>
    <mergeCell ref="BC384:BC391"/>
    <mergeCell ref="BD384:BD391"/>
    <mergeCell ref="BE384:BE391"/>
    <mergeCell ref="BF384:BF391"/>
    <mergeCell ref="BG384:BG391"/>
    <mergeCell ref="BH384:BH391"/>
    <mergeCell ref="BI384:BI391"/>
    <mergeCell ref="BJ384:BJ391"/>
    <mergeCell ref="AV384:AV391"/>
    <mergeCell ref="AW384:AW391"/>
    <mergeCell ref="AX384:AX391"/>
    <mergeCell ref="AY384:AY391"/>
    <mergeCell ref="AZ384:AZ391"/>
    <mergeCell ref="BA384:BA391"/>
    <mergeCell ref="BB384:BB391"/>
    <mergeCell ref="R392:R396"/>
    <mergeCell ref="S392:S396"/>
    <mergeCell ref="F397:BJ397"/>
    <mergeCell ref="AM398:AM410"/>
    <mergeCell ref="AN398:AN410"/>
    <mergeCell ref="AO398:AO410"/>
    <mergeCell ref="AP398:AP410"/>
    <mergeCell ref="AQ398:AQ410"/>
    <mergeCell ref="AR398:AR410"/>
    <mergeCell ref="AS398:AS410"/>
    <mergeCell ref="AT398:AT410"/>
    <mergeCell ref="AU398:AU410"/>
    <mergeCell ref="AV398:AV410"/>
    <mergeCell ref="AW398:AW410"/>
    <mergeCell ref="AX398:AX410"/>
    <mergeCell ref="AY398:AY410"/>
    <mergeCell ref="AZ398:AZ410"/>
    <mergeCell ref="BH398:BH410"/>
    <mergeCell ref="BI398:BI410"/>
    <mergeCell ref="BJ398:BJ410"/>
    <mergeCell ref="BA398:BA410"/>
    <mergeCell ref="BB398:BB410"/>
    <mergeCell ref="BC398:BC410"/>
    <mergeCell ref="BD398:BD410"/>
    <mergeCell ref="BE398:BE410"/>
    <mergeCell ref="BF398:BF410"/>
    <mergeCell ref="BG398:BG410"/>
    <mergeCell ref="J384:J391"/>
    <mergeCell ref="K384:K391"/>
    <mergeCell ref="L384:L391"/>
    <mergeCell ref="M384:M391"/>
    <mergeCell ref="N384:N391"/>
    <mergeCell ref="O384:O391"/>
    <mergeCell ref="P384:P391"/>
    <mergeCell ref="B384:B391"/>
    <mergeCell ref="C384:C391"/>
    <mergeCell ref="D384:D391"/>
    <mergeCell ref="F384:F391"/>
    <mergeCell ref="H384:H391"/>
    <mergeCell ref="I384:I391"/>
    <mergeCell ref="B397:E397"/>
    <mergeCell ref="I398:I410"/>
    <mergeCell ref="J398:J410"/>
    <mergeCell ref="K398:K410"/>
    <mergeCell ref="L398:L410"/>
    <mergeCell ref="M398:M410"/>
    <mergeCell ref="N398:N410"/>
    <mergeCell ref="O398:O410"/>
    <mergeCell ref="P398:P410"/>
    <mergeCell ref="R398:R410"/>
    <mergeCell ref="S398:S410"/>
    <mergeCell ref="U398:U410"/>
    <mergeCell ref="V398:V410"/>
    <mergeCell ref="W398:W410"/>
    <mergeCell ref="X398:X410"/>
    <mergeCell ref="Y398:Y410"/>
    <mergeCell ref="Z398:Z410"/>
    <mergeCell ref="AA398:AA410"/>
    <mergeCell ref="AB398:AB410"/>
    <mergeCell ref="AC398:AC410"/>
    <mergeCell ref="AD398:AD410"/>
    <mergeCell ref="AE398:AE410"/>
    <mergeCell ref="AF398:AF410"/>
    <mergeCell ref="AG398:AG410"/>
    <mergeCell ref="AH398:AH410"/>
    <mergeCell ref="AI398:AI410"/>
    <mergeCell ref="AJ398:AJ410"/>
    <mergeCell ref="AK398:AK410"/>
    <mergeCell ref="AL398:AL410"/>
    <mergeCell ref="A384:A391"/>
    <mergeCell ref="A398:A410"/>
    <mergeCell ref="B398:B410"/>
    <mergeCell ref="C398:C410"/>
    <mergeCell ref="D398:D410"/>
    <mergeCell ref="F398:F410"/>
    <mergeCell ref="H398:H410"/>
    <mergeCell ref="BH411:BH421"/>
    <mergeCell ref="BI411:BI421"/>
    <mergeCell ref="BJ411:BJ421"/>
    <mergeCell ref="BA411:BA421"/>
    <mergeCell ref="BB411:BB421"/>
    <mergeCell ref="BC411:BC421"/>
    <mergeCell ref="BD411:BD421"/>
    <mergeCell ref="BE411:BE421"/>
    <mergeCell ref="BF411:BF421"/>
    <mergeCell ref="BG411:BG421"/>
    <mergeCell ref="J411:J421"/>
    <mergeCell ref="K411:K421"/>
    <mergeCell ref="L411:L421"/>
    <mergeCell ref="N411:N421"/>
    <mergeCell ref="O411:O421"/>
    <mergeCell ref="P411:P421"/>
    <mergeCell ref="Q411:Q421"/>
    <mergeCell ref="R411:R421"/>
    <mergeCell ref="S411:S421"/>
    <mergeCell ref="T411:T421"/>
    <mergeCell ref="U411:U421"/>
    <mergeCell ref="V411:V421"/>
    <mergeCell ref="W411:W421"/>
    <mergeCell ref="X411:X421"/>
    <mergeCell ref="Y411:Y421"/>
    <mergeCell ref="Z411:Z421"/>
    <mergeCell ref="AA411:AA421"/>
    <mergeCell ref="AB411:AB421"/>
    <mergeCell ref="AC411:AC421"/>
    <mergeCell ref="AD411:AD421"/>
    <mergeCell ref="AE411:AE421"/>
    <mergeCell ref="AF411:AF421"/>
    <mergeCell ref="AG411:AG421"/>
    <mergeCell ref="AH411:AH421"/>
    <mergeCell ref="AI411:AI421"/>
    <mergeCell ref="AJ411:AJ421"/>
    <mergeCell ref="AK411:AK421"/>
    <mergeCell ref="AL411:AL421"/>
    <mergeCell ref="AM411:AM421"/>
    <mergeCell ref="AN411:AN421"/>
    <mergeCell ref="AO411:AO421"/>
    <mergeCell ref="AP411:AP421"/>
    <mergeCell ref="AQ411:AQ421"/>
    <mergeCell ref="AR411:AR421"/>
    <mergeCell ref="AS411:AS421"/>
    <mergeCell ref="AT411:AT421"/>
    <mergeCell ref="AU411:AU421"/>
    <mergeCell ref="AV411:AV421"/>
    <mergeCell ref="AW411:AW421"/>
    <mergeCell ref="AX411:AX421"/>
    <mergeCell ref="AY411:AY421"/>
    <mergeCell ref="AZ411:AZ421"/>
    <mergeCell ref="A411:A421"/>
    <mergeCell ref="B411:B421"/>
    <mergeCell ref="C411:C421"/>
    <mergeCell ref="D411:D421"/>
    <mergeCell ref="F411:F421"/>
    <mergeCell ref="H411:H421"/>
    <mergeCell ref="I411:I421"/>
    <mergeCell ref="BI422:BI432"/>
    <mergeCell ref="BJ422:BJ432"/>
    <mergeCell ref="BB422:BB432"/>
    <mergeCell ref="BC422:BC432"/>
    <mergeCell ref="BD422:BD432"/>
    <mergeCell ref="BE422:BE432"/>
    <mergeCell ref="BF422:BF432"/>
    <mergeCell ref="BG422:BG432"/>
    <mergeCell ref="BH422:BH432"/>
    <mergeCell ref="J422:J432"/>
    <mergeCell ref="K422:K432"/>
    <mergeCell ref="L422:L432"/>
    <mergeCell ref="M422:M432"/>
    <mergeCell ref="N422:N432"/>
    <mergeCell ref="O422:O432"/>
    <mergeCell ref="P422:P432"/>
    <mergeCell ref="R422:R432"/>
    <mergeCell ref="S422:S432"/>
    <mergeCell ref="U422:U432"/>
    <mergeCell ref="V422:V432"/>
    <mergeCell ref="W422:W432"/>
    <mergeCell ref="X422:X432"/>
    <mergeCell ref="Y422:Y432"/>
    <mergeCell ref="Z422:Z432"/>
    <mergeCell ref="AA422:AA432"/>
    <mergeCell ref="AB422:AB432"/>
    <mergeCell ref="AC422:AC432"/>
    <mergeCell ref="AD422:AD432"/>
    <mergeCell ref="AE422:AE432"/>
    <mergeCell ref="AF422:AF432"/>
    <mergeCell ref="AG422:AG432"/>
    <mergeCell ref="AH422:AH432"/>
    <mergeCell ref="AI422:AI432"/>
    <mergeCell ref="AJ422:AJ432"/>
    <mergeCell ref="AK422:AK432"/>
    <mergeCell ref="AL422:AL432"/>
    <mergeCell ref="AM422:AM432"/>
    <mergeCell ref="AN422:AN432"/>
    <mergeCell ref="AO422:AO432"/>
    <mergeCell ref="AP422:AP432"/>
    <mergeCell ref="AQ422:AQ432"/>
    <mergeCell ref="AR422:AR432"/>
    <mergeCell ref="AS422:AS432"/>
    <mergeCell ref="AT422:AT432"/>
    <mergeCell ref="AU422:AU432"/>
    <mergeCell ref="AV422:AV432"/>
    <mergeCell ref="AW422:AW432"/>
    <mergeCell ref="AX422:AX432"/>
    <mergeCell ref="AY422:AY432"/>
    <mergeCell ref="AZ422:AZ432"/>
    <mergeCell ref="BA422:BA432"/>
    <mergeCell ref="A422:A432"/>
    <mergeCell ref="B422:B432"/>
    <mergeCell ref="C422:C432"/>
    <mergeCell ref="D422:D432"/>
    <mergeCell ref="G422:G432"/>
    <mergeCell ref="H422:H432"/>
    <mergeCell ref="I422:I432"/>
    <mergeCell ref="J441:J448"/>
    <mergeCell ref="K441:K448"/>
    <mergeCell ref="M441:M448"/>
    <mergeCell ref="N441:N448"/>
    <mergeCell ref="O441:O448"/>
    <mergeCell ref="P441:P448"/>
    <mergeCell ref="R441:R448"/>
    <mergeCell ref="A441:A448"/>
    <mergeCell ref="B441:B448"/>
    <mergeCell ref="C441:C448"/>
    <mergeCell ref="D441:D448"/>
    <mergeCell ref="G441:G448"/>
    <mergeCell ref="H441:H448"/>
    <mergeCell ref="I441:I448"/>
    <mergeCell ref="AV441:AV448"/>
    <mergeCell ref="AW441:AW448"/>
    <mergeCell ref="AX441:AX448"/>
    <mergeCell ref="AY441:AY448"/>
    <mergeCell ref="AZ441:AZ448"/>
    <mergeCell ref="BA441:BA448"/>
    <mergeCell ref="BB441:BB448"/>
    <mergeCell ref="A449:A453"/>
    <mergeCell ref="B449:B453"/>
    <mergeCell ref="C449:C453"/>
    <mergeCell ref="D449:D453"/>
    <mergeCell ref="F449:F453"/>
    <mergeCell ref="H449:H453"/>
    <mergeCell ref="I449:I453"/>
    <mergeCell ref="S441:S448"/>
    <mergeCell ref="U441:U448"/>
    <mergeCell ref="V441:V448"/>
    <mergeCell ref="W441:W448"/>
    <mergeCell ref="X441:X448"/>
    <mergeCell ref="Y441:Y448"/>
    <mergeCell ref="Z441:Z448"/>
    <mergeCell ref="AA441:AA448"/>
    <mergeCell ref="AB441:AB448"/>
    <mergeCell ref="AC441:AC448"/>
    <mergeCell ref="AD441:AD448"/>
    <mergeCell ref="AE441:AE448"/>
    <mergeCell ref="AF441:AF448"/>
    <mergeCell ref="AG441:AG448"/>
    <mergeCell ref="AH441:AH448"/>
    <mergeCell ref="AI441:AI448"/>
    <mergeCell ref="AJ441:AJ448"/>
    <mergeCell ref="AK441:AK448"/>
    <mergeCell ref="AL441:AL448"/>
    <mergeCell ref="AM441:AM448"/>
    <mergeCell ref="AN441:AN448"/>
    <mergeCell ref="AO441:AO448"/>
    <mergeCell ref="AP441:AP448"/>
    <mergeCell ref="AQ441:AQ448"/>
    <mergeCell ref="AR441:AR448"/>
    <mergeCell ref="AS441:AS448"/>
    <mergeCell ref="AT441:AT448"/>
    <mergeCell ref="AU441:AU448"/>
    <mergeCell ref="BD441:BD448"/>
    <mergeCell ref="BD449:BD453"/>
    <mergeCell ref="BE449:BE453"/>
    <mergeCell ref="BF449:BF453"/>
    <mergeCell ref="BG449:BG453"/>
    <mergeCell ref="BH449:BH453"/>
    <mergeCell ref="BI449:BI453"/>
    <mergeCell ref="BJ449:BJ453"/>
    <mergeCell ref="BC441:BC448"/>
    <mergeCell ref="BE441:BE448"/>
    <mergeCell ref="BF441:BF448"/>
    <mergeCell ref="BG441:BG448"/>
    <mergeCell ref="BH441:BH448"/>
    <mergeCell ref="BI441:BI448"/>
    <mergeCell ref="BJ441:BJ448"/>
    <mergeCell ref="AJ449:AJ453"/>
    <mergeCell ref="AK449:AK453"/>
    <mergeCell ref="AC449:AC453"/>
    <mergeCell ref="AD449:AD453"/>
    <mergeCell ref="AE449:AE453"/>
    <mergeCell ref="AF449:AF453"/>
    <mergeCell ref="AG449:AG453"/>
    <mergeCell ref="AH449:AH453"/>
    <mergeCell ref="AI449:AI453"/>
    <mergeCell ref="AA449:AA453"/>
    <mergeCell ref="AB449:AB453"/>
    <mergeCell ref="T449:T453"/>
    <mergeCell ref="U449:U453"/>
    <mergeCell ref="V449:V453"/>
    <mergeCell ref="W449:W453"/>
    <mergeCell ref="X449:X453"/>
    <mergeCell ref="Y449:Y453"/>
    <mergeCell ref="Z449:Z453"/>
    <mergeCell ref="J455:J467"/>
    <mergeCell ref="K455:K467"/>
    <mergeCell ref="L455:L467"/>
    <mergeCell ref="M455:M467"/>
    <mergeCell ref="N455:N467"/>
    <mergeCell ref="O455:O467"/>
    <mergeCell ref="P455:P467"/>
    <mergeCell ref="R455:R467"/>
    <mergeCell ref="S455:S467"/>
    <mergeCell ref="V455:V467"/>
    <mergeCell ref="W455:W467"/>
    <mergeCell ref="X455:X467"/>
    <mergeCell ref="Y455:Y467"/>
    <mergeCell ref="Z455:Z467"/>
    <mergeCell ref="AA455:AA467"/>
    <mergeCell ref="AB455:AB467"/>
    <mergeCell ref="AC455:AC467"/>
    <mergeCell ref="AD455:AD467"/>
    <mergeCell ref="AE455:AE467"/>
    <mergeCell ref="AF455:AF467"/>
    <mergeCell ref="AG455:AG467"/>
    <mergeCell ref="AH455:AH467"/>
    <mergeCell ref="AI455:AI467"/>
    <mergeCell ref="AJ455:AJ467"/>
    <mergeCell ref="AK455:AK467"/>
    <mergeCell ref="AL455:AL467"/>
    <mergeCell ref="AM455:AM467"/>
    <mergeCell ref="AN455:AN467"/>
    <mergeCell ref="A455:A467"/>
    <mergeCell ref="B455:B467"/>
    <mergeCell ref="C455:C467"/>
    <mergeCell ref="D455:D467"/>
    <mergeCell ref="G455:G467"/>
    <mergeCell ref="H455:H467"/>
    <mergeCell ref="I455:I467"/>
    <mergeCell ref="BI468:BI480"/>
    <mergeCell ref="BJ468:BJ480"/>
    <mergeCell ref="BB468:BB480"/>
    <mergeCell ref="BC468:BC480"/>
    <mergeCell ref="BD468:BD480"/>
    <mergeCell ref="BE468:BE480"/>
    <mergeCell ref="BF468:BF480"/>
    <mergeCell ref="BG468:BG480"/>
    <mergeCell ref="BH468:BH480"/>
    <mergeCell ref="J468:J480"/>
    <mergeCell ref="K468:K480"/>
    <mergeCell ref="L468:L480"/>
    <mergeCell ref="M468:M480"/>
    <mergeCell ref="N468:N480"/>
    <mergeCell ref="O468:O480"/>
    <mergeCell ref="P468:P480"/>
    <mergeCell ref="R468:R480"/>
    <mergeCell ref="S468:S480"/>
    <mergeCell ref="U468:U480"/>
    <mergeCell ref="V468:V480"/>
    <mergeCell ref="W468:W480"/>
    <mergeCell ref="X468:X480"/>
    <mergeCell ref="Y468:Y480"/>
    <mergeCell ref="Z468:Z480"/>
    <mergeCell ref="AA468:AA480"/>
    <mergeCell ref="AB468:AB480"/>
    <mergeCell ref="AC468:AC480"/>
    <mergeCell ref="AD468:AD480"/>
    <mergeCell ref="AE468:AE480"/>
    <mergeCell ref="AF468:AF480"/>
    <mergeCell ref="AG468:AG480"/>
    <mergeCell ref="AH468:AH480"/>
    <mergeCell ref="AI468:AI480"/>
    <mergeCell ref="AJ468:AJ480"/>
    <mergeCell ref="AK468:AK480"/>
    <mergeCell ref="AL468:AL480"/>
    <mergeCell ref="AM468:AM480"/>
    <mergeCell ref="AN468:AN480"/>
    <mergeCell ref="AO468:AO480"/>
    <mergeCell ref="AP468:AP480"/>
    <mergeCell ref="AQ468:AQ480"/>
    <mergeCell ref="AR468:AR480"/>
    <mergeCell ref="AS468:AS480"/>
    <mergeCell ref="AT468:AT480"/>
    <mergeCell ref="AU468:AU480"/>
    <mergeCell ref="AV468:AV480"/>
    <mergeCell ref="AW468:AW480"/>
    <mergeCell ref="AX468:AX480"/>
    <mergeCell ref="AY468:AY480"/>
    <mergeCell ref="AZ468:AZ480"/>
    <mergeCell ref="BA468:BA480"/>
    <mergeCell ref="A468:A480"/>
    <mergeCell ref="B468:B480"/>
    <mergeCell ref="C468:C480"/>
    <mergeCell ref="D468:D480"/>
    <mergeCell ref="G468:G480"/>
    <mergeCell ref="H468:H480"/>
    <mergeCell ref="I468:I480"/>
    <mergeCell ref="BI481:BI491"/>
    <mergeCell ref="BJ481:BJ491"/>
    <mergeCell ref="BB481:BB491"/>
    <mergeCell ref="BC481:BC491"/>
    <mergeCell ref="BD481:BD491"/>
    <mergeCell ref="BE481:BE491"/>
    <mergeCell ref="BF481:BF491"/>
    <mergeCell ref="BG481:BG491"/>
    <mergeCell ref="BH481:BH491"/>
    <mergeCell ref="J481:J491"/>
    <mergeCell ref="K481:K491"/>
    <mergeCell ref="L481:L491"/>
    <mergeCell ref="M481:M491"/>
    <mergeCell ref="N481:N491"/>
    <mergeCell ref="O481:O491"/>
    <mergeCell ref="P481:P491"/>
    <mergeCell ref="R481:R491"/>
    <mergeCell ref="S481:S491"/>
    <mergeCell ref="U481:U491"/>
    <mergeCell ref="V481:V491"/>
    <mergeCell ref="W481:W491"/>
    <mergeCell ref="X481:X491"/>
    <mergeCell ref="Y481:Y491"/>
    <mergeCell ref="Z481:Z491"/>
    <mergeCell ref="AA481:AA491"/>
    <mergeCell ref="AB481:AB491"/>
    <mergeCell ref="AC481:AC491"/>
    <mergeCell ref="AD481:AD491"/>
    <mergeCell ref="AE481:AE491"/>
    <mergeCell ref="AF481:AF491"/>
    <mergeCell ref="AG481:AG491"/>
    <mergeCell ref="AH481:AH491"/>
    <mergeCell ref="AI481:AI491"/>
    <mergeCell ref="AJ481:AJ491"/>
    <mergeCell ref="AK481:AK491"/>
    <mergeCell ref="AL481:AL491"/>
    <mergeCell ref="AM481:AM491"/>
    <mergeCell ref="AN481:AN491"/>
    <mergeCell ref="AO481:AO491"/>
    <mergeCell ref="AP481:AP491"/>
    <mergeCell ref="AQ481:AQ491"/>
    <mergeCell ref="AR481:AR491"/>
    <mergeCell ref="AS481:AS491"/>
    <mergeCell ref="AT481:AT491"/>
    <mergeCell ref="AU481:AU491"/>
    <mergeCell ref="AV481:AV491"/>
    <mergeCell ref="AW481:AW491"/>
    <mergeCell ref="AX481:AX491"/>
    <mergeCell ref="AY481:AY491"/>
    <mergeCell ref="AZ481:AZ491"/>
    <mergeCell ref="BA481:BA491"/>
    <mergeCell ref="A481:A491"/>
    <mergeCell ref="B481:B491"/>
    <mergeCell ref="C481:C491"/>
    <mergeCell ref="D481:D491"/>
    <mergeCell ref="G481:G491"/>
    <mergeCell ref="H481:H491"/>
    <mergeCell ref="I481:I491"/>
    <mergeCell ref="BI492:BI502"/>
    <mergeCell ref="BJ492:BJ502"/>
    <mergeCell ref="BB492:BB502"/>
    <mergeCell ref="BC492:BC502"/>
    <mergeCell ref="BD492:BD502"/>
    <mergeCell ref="BE492:BE502"/>
    <mergeCell ref="BF492:BF502"/>
    <mergeCell ref="BG492:BG502"/>
    <mergeCell ref="BH492:BH502"/>
    <mergeCell ref="J492:J502"/>
    <mergeCell ref="K492:K502"/>
    <mergeCell ref="L492:L502"/>
    <mergeCell ref="M492:M502"/>
    <mergeCell ref="N492:N502"/>
    <mergeCell ref="O492:O502"/>
    <mergeCell ref="P492:P502"/>
    <mergeCell ref="R492:R502"/>
    <mergeCell ref="S492:S502"/>
    <mergeCell ref="U492:U502"/>
    <mergeCell ref="V492:V502"/>
    <mergeCell ref="W492:W502"/>
    <mergeCell ref="X492:X502"/>
    <mergeCell ref="Y492:Y502"/>
    <mergeCell ref="Z492:Z502"/>
    <mergeCell ref="AA492:AA502"/>
    <mergeCell ref="AB492:AB502"/>
    <mergeCell ref="AC492:AC502"/>
    <mergeCell ref="AD492:AD502"/>
    <mergeCell ref="AE492:AE502"/>
    <mergeCell ref="AF492:AF502"/>
    <mergeCell ref="AG492:AG502"/>
    <mergeCell ref="AH492:AH502"/>
    <mergeCell ref="AI492:AI502"/>
    <mergeCell ref="AJ492:AJ502"/>
    <mergeCell ref="AK492:AK502"/>
    <mergeCell ref="AL492:AL502"/>
    <mergeCell ref="AM492:AM502"/>
    <mergeCell ref="AN492:AN502"/>
    <mergeCell ref="AO492:AO502"/>
    <mergeCell ref="AP492:AP502"/>
    <mergeCell ref="AQ492:AQ502"/>
    <mergeCell ref="AR492:AR502"/>
    <mergeCell ref="AS492:AS502"/>
    <mergeCell ref="AT492:AT502"/>
    <mergeCell ref="AU492:AU502"/>
    <mergeCell ref="AV492:AV502"/>
    <mergeCell ref="AW492:AW502"/>
    <mergeCell ref="AX492:AX502"/>
    <mergeCell ref="AY492:AY502"/>
    <mergeCell ref="AZ492:AZ502"/>
    <mergeCell ref="BA492:BA502"/>
    <mergeCell ref="A492:A502"/>
    <mergeCell ref="B492:B502"/>
    <mergeCell ref="C492:C502"/>
    <mergeCell ref="D492:D502"/>
    <mergeCell ref="G492:G502"/>
    <mergeCell ref="H492:H502"/>
    <mergeCell ref="I492:I502"/>
    <mergeCell ref="K503:K510"/>
    <mergeCell ref="L503:L510"/>
    <mergeCell ref="M503:M510"/>
    <mergeCell ref="N503:N510"/>
    <mergeCell ref="O503:O510"/>
    <mergeCell ref="P503:P510"/>
    <mergeCell ref="R503:R510"/>
    <mergeCell ref="A503:A510"/>
    <mergeCell ref="B503:B510"/>
    <mergeCell ref="C503:C510"/>
    <mergeCell ref="D503:D510"/>
    <mergeCell ref="F503:F510"/>
    <mergeCell ref="H503:H510"/>
    <mergeCell ref="J503:J510"/>
    <mergeCell ref="AC511:AC518"/>
    <mergeCell ref="AD511:AD518"/>
    <mergeCell ref="V511:V518"/>
    <mergeCell ref="W511:W518"/>
    <mergeCell ref="X511:X518"/>
    <mergeCell ref="Y511:Y518"/>
    <mergeCell ref="Z511:Z518"/>
    <mergeCell ref="AA511:AA518"/>
    <mergeCell ref="AB511:AB518"/>
    <mergeCell ref="AL511:AL518"/>
    <mergeCell ref="AM511:AM518"/>
    <mergeCell ref="AE511:AE518"/>
    <mergeCell ref="AF511:AF518"/>
    <mergeCell ref="AG511:AG518"/>
    <mergeCell ref="AH511:AH518"/>
    <mergeCell ref="AI511:AI518"/>
    <mergeCell ref="AJ511:AJ518"/>
    <mergeCell ref="AK511:AK518"/>
    <mergeCell ref="AU511:AU518"/>
    <mergeCell ref="AV511:AV518"/>
    <mergeCell ref="AN511:AN518"/>
    <mergeCell ref="AO511:AO518"/>
    <mergeCell ref="AP511:AP518"/>
    <mergeCell ref="AQ511:AQ518"/>
    <mergeCell ref="AR511:AR518"/>
    <mergeCell ref="AS511:AS518"/>
    <mergeCell ref="AT511:AT518"/>
    <mergeCell ref="BD511:BD518"/>
    <mergeCell ref="BE511:BE518"/>
    <mergeCell ref="AW511:AW518"/>
    <mergeCell ref="AX511:AX518"/>
    <mergeCell ref="AY511:AY518"/>
    <mergeCell ref="AZ511:AZ518"/>
    <mergeCell ref="BA511:BA518"/>
    <mergeCell ref="BB511:BB518"/>
    <mergeCell ref="BC511:BC518"/>
    <mergeCell ref="AP503:AP510"/>
    <mergeCell ref="AQ503:AQ510"/>
    <mergeCell ref="AR503:AR510"/>
    <mergeCell ref="AS503:AS510"/>
    <mergeCell ref="AT503:AT510"/>
    <mergeCell ref="AU503:AU510"/>
    <mergeCell ref="AV503:AV510"/>
    <mergeCell ref="A511:A518"/>
    <mergeCell ref="B511:B518"/>
    <mergeCell ref="C511:C518"/>
    <mergeCell ref="D511:D518"/>
    <mergeCell ref="G511:G518"/>
    <mergeCell ref="H511:H518"/>
    <mergeCell ref="J511:J518"/>
    <mergeCell ref="S503:S510"/>
    <mergeCell ref="V503:V510"/>
    <mergeCell ref="W503:W510"/>
    <mergeCell ref="X503:X510"/>
    <mergeCell ref="Y503:Y510"/>
    <mergeCell ref="Z503:Z510"/>
    <mergeCell ref="AA503:AA510"/>
    <mergeCell ref="AB503:AB510"/>
    <mergeCell ref="AC503:AC510"/>
    <mergeCell ref="AD503:AD510"/>
    <mergeCell ref="AE503:AE510"/>
    <mergeCell ref="AF503:AF510"/>
    <mergeCell ref="AG503:AG510"/>
    <mergeCell ref="AH503:AH510"/>
    <mergeCell ref="AI503:AI510"/>
    <mergeCell ref="AJ503:AJ510"/>
    <mergeCell ref="AK503:AK510"/>
    <mergeCell ref="AL503:AL510"/>
    <mergeCell ref="AM503:AM510"/>
    <mergeCell ref="AN503:AN510"/>
    <mergeCell ref="AO503:AO510"/>
    <mergeCell ref="AW503:AW510"/>
    <mergeCell ref="AX503:AX510"/>
    <mergeCell ref="AY503:AY510"/>
    <mergeCell ref="AZ503:AZ510"/>
    <mergeCell ref="BA503:BA510"/>
    <mergeCell ref="BB503:BB510"/>
    <mergeCell ref="BC503:BC510"/>
    <mergeCell ref="BF511:BF518"/>
    <mergeCell ref="BG511:BG518"/>
    <mergeCell ref="BH511:BH518"/>
    <mergeCell ref="BI511:BI518"/>
    <mergeCell ref="BJ511:BJ518"/>
    <mergeCell ref="BD503:BD510"/>
    <mergeCell ref="BE503:BE510"/>
    <mergeCell ref="BF503:BF510"/>
    <mergeCell ref="BG503:BG510"/>
    <mergeCell ref="BH503:BH510"/>
    <mergeCell ref="BI503:BI510"/>
    <mergeCell ref="BJ503:BJ510"/>
    <mergeCell ref="BI433:BI440"/>
    <mergeCell ref="BJ433:BJ440"/>
    <mergeCell ref="BB433:BB440"/>
    <mergeCell ref="BC433:BC440"/>
    <mergeCell ref="BD433:BD440"/>
    <mergeCell ref="BE433:BE440"/>
    <mergeCell ref="BF433:BF440"/>
    <mergeCell ref="BG433:BG440"/>
    <mergeCell ref="BH433:BH440"/>
    <mergeCell ref="J433:J440"/>
    <mergeCell ref="K433:K440"/>
    <mergeCell ref="L433:L440"/>
    <mergeCell ref="M433:M440"/>
    <mergeCell ref="N433:N440"/>
    <mergeCell ref="O433:O440"/>
    <mergeCell ref="P433:P440"/>
    <mergeCell ref="R433:R440"/>
    <mergeCell ref="S433:S440"/>
    <mergeCell ref="U433:U440"/>
    <mergeCell ref="V433:V440"/>
    <mergeCell ref="W433:W440"/>
    <mergeCell ref="X433:X440"/>
    <mergeCell ref="Y433:Y440"/>
    <mergeCell ref="Z433:Z440"/>
    <mergeCell ref="AA433:AA440"/>
    <mergeCell ref="AB433:AB440"/>
    <mergeCell ref="AC433:AC440"/>
    <mergeCell ref="AD433:AD440"/>
    <mergeCell ref="AE433:AE440"/>
    <mergeCell ref="AF433:AF440"/>
    <mergeCell ref="AG433:AG440"/>
    <mergeCell ref="AH433:AH440"/>
    <mergeCell ref="AI433:AI440"/>
    <mergeCell ref="AJ433:AJ440"/>
    <mergeCell ref="AK433:AK440"/>
    <mergeCell ref="AL433:AL440"/>
    <mergeCell ref="AM433:AM440"/>
    <mergeCell ref="AN433:AN440"/>
    <mergeCell ref="AO433:AO440"/>
    <mergeCell ref="AP433:AP440"/>
    <mergeCell ref="AQ433:AQ440"/>
    <mergeCell ref="AR433:AR440"/>
    <mergeCell ref="AS433:AS440"/>
    <mergeCell ref="AT433:AT440"/>
    <mergeCell ref="AU433:AU440"/>
    <mergeCell ref="AV433:AV440"/>
    <mergeCell ref="AW433:AW440"/>
    <mergeCell ref="AX433:AX440"/>
    <mergeCell ref="AY433:AY440"/>
    <mergeCell ref="AZ433:AZ440"/>
    <mergeCell ref="BA433:BA440"/>
    <mergeCell ref="A433:A440"/>
    <mergeCell ref="B433:B440"/>
    <mergeCell ref="C433:C440"/>
    <mergeCell ref="D433:D440"/>
    <mergeCell ref="G433:G440"/>
    <mergeCell ref="H433:H440"/>
    <mergeCell ref="I433:I440"/>
    <mergeCell ref="R449:R453"/>
    <mergeCell ref="S449:S453"/>
    <mergeCell ref="B454:E454"/>
    <mergeCell ref="F454:BJ454"/>
    <mergeCell ref="J449:J453"/>
    <mergeCell ref="K449:K453"/>
    <mergeCell ref="L449:L453"/>
    <mergeCell ref="N449:N453"/>
    <mergeCell ref="O449:O453"/>
    <mergeCell ref="P449:P453"/>
    <mergeCell ref="Q449:Q453"/>
    <mergeCell ref="AS449:AS453"/>
    <mergeCell ref="AT449:AT453"/>
    <mergeCell ref="AL449:AL453"/>
    <mergeCell ref="AM449:AM453"/>
    <mergeCell ref="AN449:AN453"/>
    <mergeCell ref="AO449:AO453"/>
    <mergeCell ref="AP449:AP453"/>
    <mergeCell ref="AQ449:AQ453"/>
    <mergeCell ref="AR449:AR453"/>
    <mergeCell ref="BB449:BB453"/>
    <mergeCell ref="BC449:BC453"/>
    <mergeCell ref="AU449:AU453"/>
    <mergeCell ref="AV449:AV453"/>
    <mergeCell ref="AW449:AW453"/>
    <mergeCell ref="AX449:AX453"/>
    <mergeCell ref="AY449:AY453"/>
    <mergeCell ref="AZ449:AZ453"/>
    <mergeCell ref="BA449:BA453"/>
    <mergeCell ref="AO455:AO467"/>
    <mergeCell ref="AP455:AP467"/>
    <mergeCell ref="AQ455:AQ467"/>
    <mergeCell ref="AR455:AR467"/>
    <mergeCell ref="AS455:AS467"/>
    <mergeCell ref="AT455:AT467"/>
    <mergeCell ref="AU455:AU467"/>
    <mergeCell ref="BC455:BC467"/>
    <mergeCell ref="BD455:BD467"/>
    <mergeCell ref="BE455:BE467"/>
    <mergeCell ref="BF455:BF467"/>
    <mergeCell ref="BG455:BG467"/>
    <mergeCell ref="BH455:BH467"/>
    <mergeCell ref="BI455:BI467"/>
    <mergeCell ref="BJ455:BJ467"/>
    <mergeCell ref="AV455:AV467"/>
    <mergeCell ref="AW455:AW467"/>
    <mergeCell ref="AX455:AX467"/>
    <mergeCell ref="AY455:AY467"/>
    <mergeCell ref="AZ455:AZ467"/>
    <mergeCell ref="BA455:BA467"/>
    <mergeCell ref="BB455:BB467"/>
    <mergeCell ref="AP519:AP523"/>
    <mergeCell ref="AQ519:AQ523"/>
    <mergeCell ref="AR519:AR523"/>
    <mergeCell ref="AS519:AS523"/>
    <mergeCell ref="AT519:AT523"/>
    <mergeCell ref="AU519:AU523"/>
    <mergeCell ref="AV519:AV523"/>
    <mergeCell ref="BD519:BD523"/>
    <mergeCell ref="BE519:BE523"/>
    <mergeCell ref="BF519:BF523"/>
    <mergeCell ref="BG519:BG523"/>
    <mergeCell ref="BH519:BH523"/>
    <mergeCell ref="BI519:BI523"/>
    <mergeCell ref="BJ519:BJ523"/>
    <mergeCell ref="AW519:AW523"/>
    <mergeCell ref="AX519:AX523"/>
    <mergeCell ref="AY519:AY523"/>
    <mergeCell ref="AZ519:AZ523"/>
    <mergeCell ref="BA519:BA523"/>
    <mergeCell ref="BB519:BB523"/>
    <mergeCell ref="BC519:BC523"/>
    <mergeCell ref="F524:BJ524"/>
    <mergeCell ref="J551:J561"/>
    <mergeCell ref="K551:K561"/>
    <mergeCell ref="M551:M561"/>
    <mergeCell ref="N551:N561"/>
    <mergeCell ref="O551:O561"/>
    <mergeCell ref="P551:P561"/>
    <mergeCell ref="R551:R561"/>
    <mergeCell ref="A551:A561"/>
    <mergeCell ref="B551:B561"/>
    <mergeCell ref="C551:C561"/>
    <mergeCell ref="D551:D561"/>
    <mergeCell ref="G551:G561"/>
    <mergeCell ref="H551:H561"/>
    <mergeCell ref="I551:I561"/>
    <mergeCell ref="AA562:AA569"/>
    <mergeCell ref="AB562:AB569"/>
    <mergeCell ref="T562:T569"/>
    <mergeCell ref="U562:U569"/>
    <mergeCell ref="V562:V569"/>
    <mergeCell ref="W562:W569"/>
    <mergeCell ref="X562:X569"/>
    <mergeCell ref="Y562:Y569"/>
    <mergeCell ref="Z562:Z569"/>
    <mergeCell ref="AJ562:AJ569"/>
    <mergeCell ref="AK562:AK569"/>
    <mergeCell ref="AC562:AC569"/>
    <mergeCell ref="AD562:AD569"/>
    <mergeCell ref="AE562:AE569"/>
    <mergeCell ref="AF562:AF569"/>
    <mergeCell ref="AG562:AG569"/>
    <mergeCell ref="AH562:AH569"/>
    <mergeCell ref="AI562:AI569"/>
    <mergeCell ref="AS562:AS569"/>
    <mergeCell ref="AT562:AT569"/>
    <mergeCell ref="AL562:AL569"/>
    <mergeCell ref="AM562:AM569"/>
    <mergeCell ref="AN562:AN569"/>
    <mergeCell ref="AO562:AO569"/>
    <mergeCell ref="AP562:AP569"/>
    <mergeCell ref="AQ562:AQ569"/>
    <mergeCell ref="AR562:AR569"/>
    <mergeCell ref="BB562:BB569"/>
    <mergeCell ref="BC562:BC569"/>
    <mergeCell ref="AU562:AU569"/>
    <mergeCell ref="AV562:AV569"/>
    <mergeCell ref="AW562:AW569"/>
    <mergeCell ref="AX562:AX569"/>
    <mergeCell ref="AY562:AY569"/>
    <mergeCell ref="AZ562:AZ569"/>
    <mergeCell ref="BA562:BA569"/>
    <mergeCell ref="AV551:AV561"/>
    <mergeCell ref="AW551:AW561"/>
    <mergeCell ref="AX551:AX561"/>
    <mergeCell ref="AY551:AY561"/>
    <mergeCell ref="AZ551:AZ561"/>
    <mergeCell ref="BA551:BA561"/>
    <mergeCell ref="BB551:BB561"/>
    <mergeCell ref="A562:A569"/>
    <mergeCell ref="B562:B569"/>
    <mergeCell ref="C562:C569"/>
    <mergeCell ref="D562:D569"/>
    <mergeCell ref="G562:G569"/>
    <mergeCell ref="H562:H569"/>
    <mergeCell ref="I562:I569"/>
    <mergeCell ref="S551:S561"/>
    <mergeCell ref="U551:U561"/>
    <mergeCell ref="V551:V561"/>
    <mergeCell ref="W551:W561"/>
    <mergeCell ref="X551:X561"/>
    <mergeCell ref="Y551:Y561"/>
    <mergeCell ref="Z551:Z561"/>
    <mergeCell ref="AA551:AA561"/>
    <mergeCell ref="AB551:AB561"/>
    <mergeCell ref="AC551:AC561"/>
    <mergeCell ref="AD551:AD561"/>
    <mergeCell ref="AE551:AE561"/>
    <mergeCell ref="AF551:AF561"/>
    <mergeCell ref="AG551:AG561"/>
    <mergeCell ref="AH551:AH561"/>
    <mergeCell ref="AI551:AI561"/>
    <mergeCell ref="AJ551:AJ561"/>
    <mergeCell ref="AK551:AK561"/>
    <mergeCell ref="AL551:AL561"/>
    <mergeCell ref="AM551:AM561"/>
    <mergeCell ref="AN551:AN561"/>
    <mergeCell ref="AO551:AO561"/>
    <mergeCell ref="AP551:AP561"/>
    <mergeCell ref="AQ551:AQ561"/>
    <mergeCell ref="AR551:AR561"/>
    <mergeCell ref="AS551:AS561"/>
    <mergeCell ref="AT551:AT561"/>
    <mergeCell ref="AU551:AU561"/>
    <mergeCell ref="BD551:BD561"/>
    <mergeCell ref="BD562:BD569"/>
    <mergeCell ref="BE562:BE569"/>
    <mergeCell ref="BF562:BF569"/>
    <mergeCell ref="BG562:BG569"/>
    <mergeCell ref="BH562:BH569"/>
    <mergeCell ref="BI562:BI569"/>
    <mergeCell ref="BJ562:BJ569"/>
    <mergeCell ref="BC551:BC561"/>
    <mergeCell ref="BE551:BE561"/>
    <mergeCell ref="BF551:BF561"/>
    <mergeCell ref="BG551:BG561"/>
    <mergeCell ref="BH551:BH561"/>
    <mergeCell ref="BI551:BI561"/>
    <mergeCell ref="BJ551:BJ561"/>
    <mergeCell ref="X525:X537"/>
    <mergeCell ref="Y525:Y537"/>
    <mergeCell ref="Q525:Q537"/>
    <mergeCell ref="R525:R537"/>
    <mergeCell ref="S525:S537"/>
    <mergeCell ref="T525:T537"/>
    <mergeCell ref="U525:U537"/>
    <mergeCell ref="V525:V537"/>
    <mergeCell ref="W525:W537"/>
    <mergeCell ref="AG525:AG537"/>
    <mergeCell ref="AH525:AH537"/>
    <mergeCell ref="Z525:Z537"/>
    <mergeCell ref="AA525:AA537"/>
    <mergeCell ref="AB525:AB537"/>
    <mergeCell ref="AC525:AC537"/>
    <mergeCell ref="AD525:AD537"/>
    <mergeCell ref="AE525:AE537"/>
    <mergeCell ref="AF525:AF537"/>
    <mergeCell ref="AI525:AI537"/>
    <mergeCell ref="AJ525:AJ537"/>
    <mergeCell ref="AK525:AK537"/>
    <mergeCell ref="AL525:AL537"/>
    <mergeCell ref="AM525:AM537"/>
    <mergeCell ref="AN525:AN537"/>
    <mergeCell ref="AO525:AO537"/>
    <mergeCell ref="AP525:AP537"/>
    <mergeCell ref="AQ525:AQ537"/>
    <mergeCell ref="AR525:AR537"/>
    <mergeCell ref="AS525:AS537"/>
    <mergeCell ref="AT525:AT537"/>
    <mergeCell ref="AU525:AU537"/>
    <mergeCell ref="AV525:AV537"/>
    <mergeCell ref="BD525:BD537"/>
    <mergeCell ref="BE525:BE537"/>
    <mergeCell ref="BF525:BF537"/>
    <mergeCell ref="BG525:BG537"/>
    <mergeCell ref="BH525:BH537"/>
    <mergeCell ref="BI525:BI537"/>
    <mergeCell ref="BJ525:BJ537"/>
    <mergeCell ref="AW525:AW537"/>
    <mergeCell ref="AX525:AX537"/>
    <mergeCell ref="AY525:AY537"/>
    <mergeCell ref="AZ525:AZ537"/>
    <mergeCell ref="BA525:BA537"/>
    <mergeCell ref="BB525:BB537"/>
    <mergeCell ref="BC525:BC537"/>
    <mergeCell ref="S511:S518"/>
    <mergeCell ref="U511:U518"/>
    <mergeCell ref="K511:K518"/>
    <mergeCell ref="L511:L518"/>
    <mergeCell ref="M511:M518"/>
    <mergeCell ref="N511:N518"/>
    <mergeCell ref="O511:O518"/>
    <mergeCell ref="P511:P518"/>
    <mergeCell ref="R511:R518"/>
    <mergeCell ref="L519:L523"/>
    <mergeCell ref="M519:M523"/>
    <mergeCell ref="N519:N523"/>
    <mergeCell ref="O519:O523"/>
    <mergeCell ref="P519:P523"/>
    <mergeCell ref="R519:R523"/>
    <mergeCell ref="S519:S523"/>
    <mergeCell ref="AB519:AB523"/>
    <mergeCell ref="AC519:AC523"/>
    <mergeCell ref="AD519:AD523"/>
    <mergeCell ref="AE519:AE523"/>
    <mergeCell ref="AF519:AF523"/>
    <mergeCell ref="AG519:AG523"/>
    <mergeCell ref="AH519:AH523"/>
    <mergeCell ref="I525:I537"/>
    <mergeCell ref="J525:J537"/>
    <mergeCell ref="K525:K537"/>
    <mergeCell ref="L525:L537"/>
    <mergeCell ref="N525:N537"/>
    <mergeCell ref="O525:O537"/>
    <mergeCell ref="P525:P537"/>
    <mergeCell ref="U519:U523"/>
    <mergeCell ref="V519:V523"/>
    <mergeCell ref="W519:W523"/>
    <mergeCell ref="X519:X523"/>
    <mergeCell ref="Y519:Y523"/>
    <mergeCell ref="Z519:Z523"/>
    <mergeCell ref="AA519:AA523"/>
    <mergeCell ref="AI519:AI523"/>
    <mergeCell ref="AJ519:AJ523"/>
    <mergeCell ref="AK519:AK523"/>
    <mergeCell ref="AL519:AL523"/>
    <mergeCell ref="AM519:AM523"/>
    <mergeCell ref="AN519:AN523"/>
    <mergeCell ref="AO519:AO523"/>
    <mergeCell ref="AM538:AM550"/>
    <mergeCell ref="AN538:AN550"/>
    <mergeCell ref="AO538:AO550"/>
    <mergeCell ref="AP538:AP550"/>
    <mergeCell ref="AQ538:AQ550"/>
    <mergeCell ref="AR538:AR550"/>
    <mergeCell ref="AS538:AS550"/>
    <mergeCell ref="AT538:AT550"/>
    <mergeCell ref="AU538:AU550"/>
    <mergeCell ref="AV538:AV550"/>
    <mergeCell ref="AW538:AW550"/>
    <mergeCell ref="AX538:AX550"/>
    <mergeCell ref="AY538:AY550"/>
    <mergeCell ref="AZ538:AZ550"/>
    <mergeCell ref="BH538:BH550"/>
    <mergeCell ref="BI538:BI550"/>
    <mergeCell ref="BJ538:BJ550"/>
    <mergeCell ref="BA538:BA550"/>
    <mergeCell ref="BB538:BB550"/>
    <mergeCell ref="BC538:BC550"/>
    <mergeCell ref="BD538:BD550"/>
    <mergeCell ref="BE538:BE550"/>
    <mergeCell ref="BF538:BF550"/>
    <mergeCell ref="BG538:BG550"/>
    <mergeCell ref="B519:B523"/>
    <mergeCell ref="C519:C523"/>
    <mergeCell ref="D519:D523"/>
    <mergeCell ref="F519:F523"/>
    <mergeCell ref="I519:I523"/>
    <mergeCell ref="J519:J523"/>
    <mergeCell ref="B524:E524"/>
    <mergeCell ref="A519:A523"/>
    <mergeCell ref="A525:A537"/>
    <mergeCell ref="B525:B537"/>
    <mergeCell ref="C525:C537"/>
    <mergeCell ref="D525:D537"/>
    <mergeCell ref="F525:F537"/>
    <mergeCell ref="H525:H537"/>
    <mergeCell ref="J538:J550"/>
    <mergeCell ref="K538:K550"/>
    <mergeCell ref="L538:L550"/>
    <mergeCell ref="M538:M550"/>
    <mergeCell ref="N538:N550"/>
    <mergeCell ref="O538:O550"/>
    <mergeCell ref="P538:P550"/>
    <mergeCell ref="Q538:Q550"/>
    <mergeCell ref="R538:R550"/>
    <mergeCell ref="S538:S550"/>
    <mergeCell ref="U538:U550"/>
    <mergeCell ref="V538:V550"/>
    <mergeCell ref="W538:W550"/>
    <mergeCell ref="X538:X550"/>
    <mergeCell ref="Y538:Y550"/>
    <mergeCell ref="Z538:Z550"/>
    <mergeCell ref="AA538:AA550"/>
    <mergeCell ref="AB538:AB550"/>
    <mergeCell ref="AC538:AC550"/>
    <mergeCell ref="AD538:AD550"/>
    <mergeCell ref="AE538:AE550"/>
    <mergeCell ref="AF538:AF550"/>
    <mergeCell ref="AG538:AG550"/>
    <mergeCell ref="AH538:AH550"/>
    <mergeCell ref="AI538:AI550"/>
    <mergeCell ref="AJ538:AJ550"/>
    <mergeCell ref="AK538:AK550"/>
    <mergeCell ref="AL538:AL550"/>
    <mergeCell ref="A538:A550"/>
    <mergeCell ref="B538:B550"/>
    <mergeCell ref="C538:C550"/>
    <mergeCell ref="D538:D550"/>
    <mergeCell ref="F538:F550"/>
    <mergeCell ref="H538:H550"/>
    <mergeCell ref="I538:I550"/>
    <mergeCell ref="AM570:AM577"/>
    <mergeCell ref="AN570:AN577"/>
    <mergeCell ref="AO570:AO577"/>
    <mergeCell ref="AP570:AP577"/>
    <mergeCell ref="AQ570:AQ577"/>
    <mergeCell ref="AR570:AR577"/>
    <mergeCell ref="AS570:AS577"/>
    <mergeCell ref="AT570:AT577"/>
    <mergeCell ref="AU570:AU577"/>
    <mergeCell ref="AV570:AV577"/>
    <mergeCell ref="AW570:AW577"/>
    <mergeCell ref="AX570:AX577"/>
    <mergeCell ref="AY570:AY577"/>
    <mergeCell ref="AZ570:AZ577"/>
    <mergeCell ref="BH570:BH577"/>
    <mergeCell ref="BI570:BI577"/>
    <mergeCell ref="BJ570:BJ577"/>
    <mergeCell ref="BA570:BA577"/>
    <mergeCell ref="BB570:BB577"/>
    <mergeCell ref="BC570:BC577"/>
    <mergeCell ref="BD570:BD577"/>
    <mergeCell ref="BE570:BE577"/>
    <mergeCell ref="BF570:BF577"/>
    <mergeCell ref="BG570:BG577"/>
    <mergeCell ref="BI578:BI582"/>
    <mergeCell ref="BJ578:BJ582"/>
    <mergeCell ref="BB578:BB582"/>
    <mergeCell ref="BC578:BC582"/>
    <mergeCell ref="BD578:BD582"/>
    <mergeCell ref="BE578:BE582"/>
    <mergeCell ref="BF578:BF582"/>
    <mergeCell ref="BG578:BG582"/>
    <mergeCell ref="BH578:BH582"/>
    <mergeCell ref="A578:A582"/>
    <mergeCell ref="B578:B582"/>
    <mergeCell ref="C578:C582"/>
    <mergeCell ref="D578:D582"/>
    <mergeCell ref="F578:F582"/>
    <mergeCell ref="H578:H582"/>
    <mergeCell ref="I578:I582"/>
    <mergeCell ref="B583:E583"/>
    <mergeCell ref="J578:J582"/>
    <mergeCell ref="K578:K582"/>
    <mergeCell ref="L578:L582"/>
    <mergeCell ref="M578:M582"/>
    <mergeCell ref="N578:N582"/>
    <mergeCell ref="O578:O582"/>
    <mergeCell ref="P578:P582"/>
    <mergeCell ref="R578:R582"/>
    <mergeCell ref="S578:S582"/>
    <mergeCell ref="U578:U582"/>
    <mergeCell ref="V578:V582"/>
    <mergeCell ref="W578:W582"/>
    <mergeCell ref="X578:X582"/>
    <mergeCell ref="Y578:Y582"/>
    <mergeCell ref="F583:BJ583"/>
    <mergeCell ref="Z578:Z582"/>
    <mergeCell ref="AA578:AA582"/>
    <mergeCell ref="AB578:AB582"/>
    <mergeCell ref="AC578:AC582"/>
    <mergeCell ref="AD578:AD582"/>
    <mergeCell ref="AE578:AE582"/>
    <mergeCell ref="AF578:AF582"/>
    <mergeCell ref="AG578:AG582"/>
    <mergeCell ref="AH578:AH582"/>
    <mergeCell ref="AI578:AI582"/>
    <mergeCell ref="AJ578:AJ582"/>
    <mergeCell ref="AK578:AK582"/>
    <mergeCell ref="AL578:AL582"/>
    <mergeCell ref="AM578:AM582"/>
    <mergeCell ref="AN578:AN582"/>
    <mergeCell ref="AO578:AO582"/>
    <mergeCell ref="AP578:AP582"/>
    <mergeCell ref="AQ578:AQ582"/>
    <mergeCell ref="AR578:AR582"/>
    <mergeCell ref="AS578:AS582"/>
    <mergeCell ref="AT578:AT582"/>
    <mergeCell ref="AU578:AU582"/>
    <mergeCell ref="AV578:AV582"/>
    <mergeCell ref="AW578:AW582"/>
    <mergeCell ref="AX578:AX582"/>
    <mergeCell ref="AY578:AY582"/>
    <mergeCell ref="AZ578:AZ582"/>
    <mergeCell ref="BA578:BA582"/>
    <mergeCell ref="R562:R569"/>
    <mergeCell ref="S562:S569"/>
    <mergeCell ref="J562:J569"/>
    <mergeCell ref="K562:K569"/>
    <mergeCell ref="L562:L569"/>
    <mergeCell ref="N562:N569"/>
    <mergeCell ref="O562:O569"/>
    <mergeCell ref="P562:P569"/>
    <mergeCell ref="Q562:Q569"/>
    <mergeCell ref="J570:J577"/>
    <mergeCell ref="K570:K577"/>
    <mergeCell ref="L570:L577"/>
    <mergeCell ref="N570:N577"/>
    <mergeCell ref="O570:O577"/>
    <mergeCell ref="P570:P577"/>
    <mergeCell ref="Q570:Q577"/>
    <mergeCell ref="R570:R577"/>
    <mergeCell ref="S570:S577"/>
    <mergeCell ref="T570:T577"/>
    <mergeCell ref="U570:U577"/>
    <mergeCell ref="V570:V577"/>
    <mergeCell ref="W570:W577"/>
    <mergeCell ref="X570:X577"/>
    <mergeCell ref="Y570:Y577"/>
    <mergeCell ref="Z570:Z577"/>
    <mergeCell ref="AA570:AA577"/>
    <mergeCell ref="AB570:AB577"/>
    <mergeCell ref="AC570:AC577"/>
    <mergeCell ref="AD570:AD577"/>
    <mergeCell ref="AE570:AE577"/>
    <mergeCell ref="AF570:AF577"/>
    <mergeCell ref="AG570:AG577"/>
    <mergeCell ref="AH570:AH577"/>
    <mergeCell ref="AI570:AI577"/>
    <mergeCell ref="AJ570:AJ577"/>
    <mergeCell ref="AK570:AK577"/>
    <mergeCell ref="AL570:AL577"/>
    <mergeCell ref="A570:A577"/>
    <mergeCell ref="B570:B577"/>
    <mergeCell ref="C570:C577"/>
    <mergeCell ref="D570:D577"/>
    <mergeCell ref="F570:F577"/>
    <mergeCell ref="H570:H577"/>
    <mergeCell ref="I570:I577"/>
    <mergeCell ref="BH584:BH596"/>
    <mergeCell ref="BI584:BI596"/>
    <mergeCell ref="BJ584:BJ596"/>
    <mergeCell ref="BA584:BA596"/>
    <mergeCell ref="BB584:BB596"/>
    <mergeCell ref="BC584:BC596"/>
    <mergeCell ref="BD584:BD596"/>
    <mergeCell ref="BE584:BE596"/>
    <mergeCell ref="BF584:BF596"/>
    <mergeCell ref="BG584:BG596"/>
    <mergeCell ref="I584:I596"/>
    <mergeCell ref="J584:J596"/>
    <mergeCell ref="K584:K596"/>
    <mergeCell ref="L584:L596"/>
    <mergeCell ref="M584:M596"/>
    <mergeCell ref="N584:N596"/>
    <mergeCell ref="O584:O596"/>
    <mergeCell ref="P584:P596"/>
    <mergeCell ref="Q584:Q596"/>
    <mergeCell ref="R584:R596"/>
    <mergeCell ref="S584:S596"/>
    <mergeCell ref="T584:T596"/>
    <mergeCell ref="U584:U596"/>
    <mergeCell ref="V584:V596"/>
    <mergeCell ref="W584:W596"/>
    <mergeCell ref="Y584:Y596"/>
    <mergeCell ref="Z584:Z596"/>
    <mergeCell ref="AA584:AA596"/>
    <mergeCell ref="AB584:AB596"/>
    <mergeCell ref="AC584:AC596"/>
    <mergeCell ref="AD584:AD596"/>
    <mergeCell ref="AE584:AE596"/>
    <mergeCell ref="AF584:AF596"/>
    <mergeCell ref="AG584:AG596"/>
    <mergeCell ref="AH584:AH596"/>
    <mergeCell ref="AI584:AI596"/>
    <mergeCell ref="AJ584:AJ596"/>
    <mergeCell ref="AK584:AK596"/>
    <mergeCell ref="AL584:AL596"/>
    <mergeCell ref="AM584:AM596"/>
    <mergeCell ref="AN584:AN596"/>
    <mergeCell ref="AO584:AO596"/>
    <mergeCell ref="AQ584:AQ596"/>
    <mergeCell ref="AR584:AR596"/>
    <mergeCell ref="AS584:AS596"/>
    <mergeCell ref="AT584:AT596"/>
    <mergeCell ref="AU584:AU596"/>
    <mergeCell ref="AV584:AV596"/>
    <mergeCell ref="AW584:AW596"/>
    <mergeCell ref="AX584:AX596"/>
    <mergeCell ref="AY584:AY596"/>
    <mergeCell ref="AZ584:AZ596"/>
    <mergeCell ref="A584:A596"/>
    <mergeCell ref="B584:B596"/>
    <mergeCell ref="C584:C596"/>
    <mergeCell ref="D584:D596"/>
    <mergeCell ref="F584:F596"/>
    <mergeCell ref="G584:G596"/>
    <mergeCell ref="H584:H596"/>
    <mergeCell ref="BH597:BH607"/>
    <mergeCell ref="BI597:BI607"/>
    <mergeCell ref="BJ597:BJ607"/>
    <mergeCell ref="BA597:BA607"/>
    <mergeCell ref="BB597:BB607"/>
    <mergeCell ref="BC597:BC607"/>
    <mergeCell ref="BD597:BD607"/>
    <mergeCell ref="BE597:BE607"/>
    <mergeCell ref="BF597:BF607"/>
    <mergeCell ref="BG597:BG607"/>
    <mergeCell ref="I597:I607"/>
    <mergeCell ref="J597:J607"/>
    <mergeCell ref="K597:K607"/>
    <mergeCell ref="L597:L607"/>
    <mergeCell ref="M597:M607"/>
    <mergeCell ref="N597:N607"/>
    <mergeCell ref="O597:O607"/>
    <mergeCell ref="P597:P607"/>
    <mergeCell ref="Q597:Q607"/>
    <mergeCell ref="R597:R607"/>
    <mergeCell ref="S597:S607"/>
    <mergeCell ref="U597:U607"/>
    <mergeCell ref="V597:V607"/>
    <mergeCell ref="W597:W607"/>
    <mergeCell ref="Y597:Y607"/>
    <mergeCell ref="Z597:Z607"/>
    <mergeCell ref="AA597:AA607"/>
    <mergeCell ref="AB597:AB607"/>
    <mergeCell ref="AC597:AC607"/>
    <mergeCell ref="AD597:AD607"/>
    <mergeCell ref="AE597:AE607"/>
    <mergeCell ref="AF597:AF607"/>
    <mergeCell ref="AG597:AG607"/>
    <mergeCell ref="AH597:AH607"/>
    <mergeCell ref="AI597:AI607"/>
    <mergeCell ref="AJ597:AJ607"/>
    <mergeCell ref="AK597:AK607"/>
    <mergeCell ref="AL597:AL607"/>
    <mergeCell ref="AM597:AM607"/>
    <mergeCell ref="AN597:AN607"/>
    <mergeCell ref="AO597:AO607"/>
    <mergeCell ref="AP597:AP607"/>
    <mergeCell ref="AQ597:AQ607"/>
    <mergeCell ref="AR597:AR607"/>
    <mergeCell ref="AS597:AS607"/>
    <mergeCell ref="AT597:AT607"/>
    <mergeCell ref="AU597:AU607"/>
    <mergeCell ref="AV597:AV607"/>
    <mergeCell ref="AW597:AW607"/>
    <mergeCell ref="AX597:AX607"/>
    <mergeCell ref="AY597:AY607"/>
    <mergeCell ref="AZ597:AZ607"/>
    <mergeCell ref="A597:A607"/>
    <mergeCell ref="B597:B607"/>
    <mergeCell ref="C597:C607"/>
    <mergeCell ref="D597:D607"/>
    <mergeCell ref="F597:F607"/>
    <mergeCell ref="G597:G607"/>
    <mergeCell ref="H597:H607"/>
    <mergeCell ref="AP635:AP639"/>
    <mergeCell ref="AQ635:AQ639"/>
    <mergeCell ref="AI635:AI639"/>
    <mergeCell ref="AJ635:AJ639"/>
    <mergeCell ref="AK635:AK639"/>
    <mergeCell ref="AL635:AL639"/>
    <mergeCell ref="AM635:AM639"/>
    <mergeCell ref="AN635:AN639"/>
    <mergeCell ref="AO635:AO639"/>
    <mergeCell ref="AY635:AY639"/>
    <mergeCell ref="AZ635:AZ639"/>
    <mergeCell ref="AR635:AR639"/>
    <mergeCell ref="AS635:AS639"/>
    <mergeCell ref="AT635:AT639"/>
    <mergeCell ref="AU635:AU639"/>
    <mergeCell ref="AV635:AV639"/>
    <mergeCell ref="AW635:AW639"/>
    <mergeCell ref="AX635:AX639"/>
    <mergeCell ref="BH635:BH639"/>
    <mergeCell ref="BI635:BI639"/>
    <mergeCell ref="BA635:BA639"/>
    <mergeCell ref="BB635:BB639"/>
    <mergeCell ref="BC635:BC639"/>
    <mergeCell ref="BD635:BD639"/>
    <mergeCell ref="BE635:BE639"/>
    <mergeCell ref="BF635:BF639"/>
    <mergeCell ref="BG635:BG639"/>
    <mergeCell ref="R627:R634"/>
    <mergeCell ref="S627:S634"/>
    <mergeCell ref="U627:U634"/>
    <mergeCell ref="V627:V634"/>
    <mergeCell ref="W627:W634"/>
    <mergeCell ref="Y627:Y634"/>
    <mergeCell ref="Z627:Z634"/>
    <mergeCell ref="AA627:AA634"/>
    <mergeCell ref="AB627:AB634"/>
    <mergeCell ref="AC627:AC634"/>
    <mergeCell ref="AD627:AD634"/>
    <mergeCell ref="AE627:AE634"/>
    <mergeCell ref="AF627:AF634"/>
    <mergeCell ref="AG627:AG634"/>
    <mergeCell ref="R635:R639"/>
    <mergeCell ref="S635:S639"/>
    <mergeCell ref="U635:U639"/>
    <mergeCell ref="V635:V639"/>
    <mergeCell ref="W635:W639"/>
    <mergeCell ref="X635:X639"/>
    <mergeCell ref="Y635:Y639"/>
    <mergeCell ref="AH627:AH634"/>
    <mergeCell ref="AI627:AI634"/>
    <mergeCell ref="AJ627:AJ634"/>
    <mergeCell ref="AK627:AK634"/>
    <mergeCell ref="AL627:AL634"/>
    <mergeCell ref="AM627:AM634"/>
    <mergeCell ref="AN627:AN634"/>
    <mergeCell ref="AO627:AO634"/>
    <mergeCell ref="AP627:AP634"/>
    <mergeCell ref="AQ627:AQ634"/>
    <mergeCell ref="AR627:AR634"/>
    <mergeCell ref="AS627:AS634"/>
    <mergeCell ref="AT627:AT634"/>
    <mergeCell ref="AU627:AU634"/>
    <mergeCell ref="AV627:AV634"/>
    <mergeCell ref="AW627:AW634"/>
    <mergeCell ref="AX627:AX634"/>
    <mergeCell ref="AY627:AY634"/>
    <mergeCell ref="AZ627:AZ634"/>
    <mergeCell ref="BA627:BA634"/>
    <mergeCell ref="BB627:BB634"/>
    <mergeCell ref="BJ627:BJ634"/>
    <mergeCell ref="BJ635:BJ639"/>
    <mergeCell ref="BC627:BC634"/>
    <mergeCell ref="BD627:BD634"/>
    <mergeCell ref="BE627:BE634"/>
    <mergeCell ref="BF627:BF634"/>
    <mergeCell ref="BG627:BG634"/>
    <mergeCell ref="BH627:BH634"/>
    <mergeCell ref="BI627:BI634"/>
    <mergeCell ref="BI654:BI666"/>
    <mergeCell ref="BJ654:BJ666"/>
    <mergeCell ref="BB654:BB666"/>
    <mergeCell ref="BC654:BC666"/>
    <mergeCell ref="BD654:BD666"/>
    <mergeCell ref="BE654:BE666"/>
    <mergeCell ref="BF654:BF666"/>
    <mergeCell ref="BG654:BG666"/>
    <mergeCell ref="BH654:BH666"/>
    <mergeCell ref="J654:J666"/>
    <mergeCell ref="K654:K666"/>
    <mergeCell ref="L654:L666"/>
    <mergeCell ref="M654:M666"/>
    <mergeCell ref="N654:N666"/>
    <mergeCell ref="O654:O666"/>
    <mergeCell ref="P654:P666"/>
    <mergeCell ref="R654:R666"/>
    <mergeCell ref="S654:S666"/>
    <mergeCell ref="U654:U666"/>
    <mergeCell ref="V654:V666"/>
    <mergeCell ref="W654:W666"/>
    <mergeCell ref="X654:X666"/>
    <mergeCell ref="Y654:Y666"/>
    <mergeCell ref="Z654:Z666"/>
    <mergeCell ref="AA654:AA666"/>
    <mergeCell ref="AB654:AB666"/>
    <mergeCell ref="AC654:AC666"/>
    <mergeCell ref="AD654:AD666"/>
    <mergeCell ref="AE654:AE666"/>
    <mergeCell ref="AF654:AF666"/>
    <mergeCell ref="AG654:AG666"/>
    <mergeCell ref="AH654:AH666"/>
    <mergeCell ref="AI654:AI666"/>
    <mergeCell ref="AJ654:AJ666"/>
    <mergeCell ref="AK654:AK666"/>
    <mergeCell ref="AL654:AL666"/>
    <mergeCell ref="AM654:AM666"/>
    <mergeCell ref="AN654:AN666"/>
    <mergeCell ref="AO654:AO666"/>
    <mergeCell ref="AP654:AP666"/>
    <mergeCell ref="AQ654:AQ666"/>
    <mergeCell ref="AR654:AR666"/>
    <mergeCell ref="AS654:AS666"/>
    <mergeCell ref="AT654:AT666"/>
    <mergeCell ref="AU654:AU666"/>
    <mergeCell ref="AV654:AV666"/>
    <mergeCell ref="AW654:AW666"/>
    <mergeCell ref="AX654:AX666"/>
    <mergeCell ref="AY654:AY666"/>
    <mergeCell ref="AZ654:AZ666"/>
    <mergeCell ref="BA654:BA666"/>
    <mergeCell ref="A654:A666"/>
    <mergeCell ref="B654:B666"/>
    <mergeCell ref="C654:C666"/>
    <mergeCell ref="D654:D666"/>
    <mergeCell ref="G654:G666"/>
    <mergeCell ref="H654:H666"/>
    <mergeCell ref="I654:I666"/>
    <mergeCell ref="BH667:BH677"/>
    <mergeCell ref="BI667:BI677"/>
    <mergeCell ref="BJ667:BJ677"/>
    <mergeCell ref="BA667:BA677"/>
    <mergeCell ref="BB667:BB677"/>
    <mergeCell ref="BC667:BC677"/>
    <mergeCell ref="BD667:BD677"/>
    <mergeCell ref="BE667:BE677"/>
    <mergeCell ref="BF667:BF677"/>
    <mergeCell ref="BG667:BG677"/>
    <mergeCell ref="I667:I677"/>
    <mergeCell ref="J667:J677"/>
    <mergeCell ref="K667:K677"/>
    <mergeCell ref="L667:L677"/>
    <mergeCell ref="M667:M677"/>
    <mergeCell ref="N667:N677"/>
    <mergeCell ref="O667:O677"/>
    <mergeCell ref="P667:P677"/>
    <mergeCell ref="Q667:Q677"/>
    <mergeCell ref="R667:R677"/>
    <mergeCell ref="S667:S677"/>
    <mergeCell ref="U667:U677"/>
    <mergeCell ref="V667:V677"/>
    <mergeCell ref="W667:W677"/>
    <mergeCell ref="Y667:Y677"/>
    <mergeCell ref="Z667:Z677"/>
    <mergeCell ref="AA667:AA677"/>
    <mergeCell ref="AB667:AB677"/>
    <mergeCell ref="AC667:AC677"/>
    <mergeCell ref="AD667:AD677"/>
    <mergeCell ref="AE667:AE677"/>
    <mergeCell ref="AF667:AF677"/>
    <mergeCell ref="AG667:AG677"/>
    <mergeCell ref="AH667:AH677"/>
    <mergeCell ref="AI667:AI677"/>
    <mergeCell ref="AJ667:AJ677"/>
    <mergeCell ref="AK667:AK677"/>
    <mergeCell ref="AL667:AL677"/>
    <mergeCell ref="AM667:AM677"/>
    <mergeCell ref="AN667:AN677"/>
    <mergeCell ref="AO667:AO677"/>
    <mergeCell ref="AP667:AP677"/>
    <mergeCell ref="AQ667:AQ677"/>
    <mergeCell ref="AR667:AR677"/>
    <mergeCell ref="AS667:AS677"/>
    <mergeCell ref="AT667:AT677"/>
    <mergeCell ref="AU667:AU677"/>
    <mergeCell ref="AV667:AV677"/>
    <mergeCell ref="AW667:AW677"/>
    <mergeCell ref="AX667:AX677"/>
    <mergeCell ref="AY667:AY677"/>
    <mergeCell ref="AZ667:AZ677"/>
    <mergeCell ref="A667:A677"/>
    <mergeCell ref="B667:B677"/>
    <mergeCell ref="C667:C677"/>
    <mergeCell ref="D667:D677"/>
    <mergeCell ref="F667:F677"/>
    <mergeCell ref="G667:G677"/>
    <mergeCell ref="H667:H677"/>
    <mergeCell ref="BI678:BI685"/>
    <mergeCell ref="BJ678:BJ685"/>
    <mergeCell ref="BB678:BB685"/>
    <mergeCell ref="BC678:BC685"/>
    <mergeCell ref="BD678:BD685"/>
    <mergeCell ref="BE678:BE685"/>
    <mergeCell ref="BF678:BF685"/>
    <mergeCell ref="BG678:BG685"/>
    <mergeCell ref="BH678:BH685"/>
    <mergeCell ref="J678:J685"/>
    <mergeCell ref="K678:K685"/>
    <mergeCell ref="L678:L685"/>
    <mergeCell ref="M678:M685"/>
    <mergeCell ref="N678:N685"/>
    <mergeCell ref="O678:O685"/>
    <mergeCell ref="P678:P685"/>
    <mergeCell ref="R678:R685"/>
    <mergeCell ref="S678:S685"/>
    <mergeCell ref="U678:U685"/>
    <mergeCell ref="V678:V685"/>
    <mergeCell ref="W678:W685"/>
    <mergeCell ref="X678:X685"/>
    <mergeCell ref="Y678:Y685"/>
    <mergeCell ref="Z678:Z685"/>
    <mergeCell ref="AA678:AA685"/>
    <mergeCell ref="AB678:AB685"/>
    <mergeCell ref="AC678:AC685"/>
    <mergeCell ref="AD678:AD685"/>
    <mergeCell ref="AE678:AE685"/>
    <mergeCell ref="AF678:AF685"/>
    <mergeCell ref="AG678:AG685"/>
    <mergeCell ref="AH678:AH685"/>
    <mergeCell ref="AI678:AI685"/>
    <mergeCell ref="AJ678:AJ685"/>
    <mergeCell ref="AK678:AK685"/>
    <mergeCell ref="AL678:AL685"/>
    <mergeCell ref="AM678:AM685"/>
    <mergeCell ref="AN678:AN685"/>
    <mergeCell ref="AO678:AO685"/>
    <mergeCell ref="AP678:AP685"/>
    <mergeCell ref="AQ678:AQ685"/>
    <mergeCell ref="AR678:AR685"/>
    <mergeCell ref="AS678:AS685"/>
    <mergeCell ref="AT678:AT685"/>
    <mergeCell ref="AU678:AU685"/>
    <mergeCell ref="AV678:AV685"/>
    <mergeCell ref="AW678:AW685"/>
    <mergeCell ref="AX678:AX685"/>
    <mergeCell ref="AY678:AY685"/>
    <mergeCell ref="AZ678:AZ685"/>
    <mergeCell ref="BA678:BA685"/>
    <mergeCell ref="A678:A685"/>
    <mergeCell ref="B678:B685"/>
    <mergeCell ref="C678:C685"/>
    <mergeCell ref="D678:D685"/>
    <mergeCell ref="G678:G685"/>
    <mergeCell ref="H678:H685"/>
    <mergeCell ref="I678:I685"/>
    <mergeCell ref="AG635:AG639"/>
    <mergeCell ref="AH635:AH639"/>
    <mergeCell ref="Z635:Z639"/>
    <mergeCell ref="AA635:AA639"/>
    <mergeCell ref="AB635:AB639"/>
    <mergeCell ref="AC635:AC639"/>
    <mergeCell ref="AD635:AD639"/>
    <mergeCell ref="AE635:AE639"/>
    <mergeCell ref="AF635:AF639"/>
    <mergeCell ref="J627:J634"/>
    <mergeCell ref="K627:K634"/>
    <mergeCell ref="L627:L634"/>
    <mergeCell ref="M627:M634"/>
    <mergeCell ref="N627:N634"/>
    <mergeCell ref="O627:O634"/>
    <mergeCell ref="P627:P634"/>
    <mergeCell ref="A627:A634"/>
    <mergeCell ref="B627:B634"/>
    <mergeCell ref="C627:C634"/>
    <mergeCell ref="D627:D634"/>
    <mergeCell ref="G627:G634"/>
    <mergeCell ref="H627:H634"/>
    <mergeCell ref="I627:I634"/>
    <mergeCell ref="J641:J653"/>
    <mergeCell ref="K641:K653"/>
    <mergeCell ref="L641:L653"/>
    <mergeCell ref="M641:M653"/>
    <mergeCell ref="N641:N653"/>
    <mergeCell ref="O641:O653"/>
    <mergeCell ref="P641:P653"/>
    <mergeCell ref="R641:R653"/>
    <mergeCell ref="S641:S653"/>
    <mergeCell ref="U641:U653"/>
    <mergeCell ref="V641:V653"/>
    <mergeCell ref="W641:W653"/>
    <mergeCell ref="X641:X653"/>
    <mergeCell ref="Y641:Y653"/>
    <mergeCell ref="Z641:Z653"/>
    <mergeCell ref="AA641:AA653"/>
    <mergeCell ref="AB641:AB653"/>
    <mergeCell ref="AC641:AC653"/>
    <mergeCell ref="AD641:AD653"/>
    <mergeCell ref="AE641:AE653"/>
    <mergeCell ref="AF641:AF653"/>
    <mergeCell ref="AG641:AG653"/>
    <mergeCell ref="AH641:AH653"/>
    <mergeCell ref="AI641:AI653"/>
    <mergeCell ref="AJ641:AJ653"/>
    <mergeCell ref="AK641:AK653"/>
    <mergeCell ref="AL641:AL653"/>
    <mergeCell ref="AM641:AM653"/>
    <mergeCell ref="A641:A653"/>
    <mergeCell ref="B641:B653"/>
    <mergeCell ref="C641:C653"/>
    <mergeCell ref="D641:D653"/>
    <mergeCell ref="G641:G653"/>
    <mergeCell ref="H641:H653"/>
    <mergeCell ref="I641:I653"/>
    <mergeCell ref="J686:J693"/>
    <mergeCell ref="K686:K693"/>
    <mergeCell ref="M686:M693"/>
    <mergeCell ref="N686:N693"/>
    <mergeCell ref="O686:O693"/>
    <mergeCell ref="P686:P693"/>
    <mergeCell ref="R686:R693"/>
    <mergeCell ref="A686:A693"/>
    <mergeCell ref="B686:B693"/>
    <mergeCell ref="C686:C693"/>
    <mergeCell ref="D686:D693"/>
    <mergeCell ref="G686:G693"/>
    <mergeCell ref="H686:H693"/>
    <mergeCell ref="I686:I693"/>
    <mergeCell ref="AD694:AD698"/>
    <mergeCell ref="AE694:AE698"/>
    <mergeCell ref="V694:V698"/>
    <mergeCell ref="W694:W698"/>
    <mergeCell ref="Y694:Y698"/>
    <mergeCell ref="Z694:Z698"/>
    <mergeCell ref="AA694:AA698"/>
    <mergeCell ref="AB694:AB698"/>
    <mergeCell ref="AC694:AC698"/>
    <mergeCell ref="AM694:AM698"/>
    <mergeCell ref="AN694:AN698"/>
    <mergeCell ref="AF694:AF698"/>
    <mergeCell ref="AG694:AG698"/>
    <mergeCell ref="AH694:AH698"/>
    <mergeCell ref="AI694:AI698"/>
    <mergeCell ref="AJ694:AJ698"/>
    <mergeCell ref="AK694:AK698"/>
    <mergeCell ref="AL694:AL698"/>
    <mergeCell ref="AV694:AV698"/>
    <mergeCell ref="AW694:AW698"/>
    <mergeCell ref="AO694:AO698"/>
    <mergeCell ref="AP694:AP698"/>
    <mergeCell ref="AQ694:AQ698"/>
    <mergeCell ref="AR694:AR698"/>
    <mergeCell ref="AS694:AS698"/>
    <mergeCell ref="AT694:AT698"/>
    <mergeCell ref="AU694:AU698"/>
    <mergeCell ref="BE694:BE698"/>
    <mergeCell ref="BF694:BF698"/>
    <mergeCell ref="AX694:AX698"/>
    <mergeCell ref="AY694:AY698"/>
    <mergeCell ref="AZ694:AZ698"/>
    <mergeCell ref="BA694:BA698"/>
    <mergeCell ref="BB694:BB698"/>
    <mergeCell ref="BC694:BC698"/>
    <mergeCell ref="BD694:BD698"/>
    <mergeCell ref="AP686:AP693"/>
    <mergeCell ref="AQ686:AQ693"/>
    <mergeCell ref="AR686:AR693"/>
    <mergeCell ref="AS686:AS693"/>
    <mergeCell ref="AT686:AT693"/>
    <mergeCell ref="AU686:AU693"/>
    <mergeCell ref="AV686:AV693"/>
    <mergeCell ref="A694:A698"/>
    <mergeCell ref="B694:B698"/>
    <mergeCell ref="C694:C698"/>
    <mergeCell ref="D694:D698"/>
    <mergeCell ref="G694:G698"/>
    <mergeCell ref="H694:H698"/>
    <mergeCell ref="J694:J698"/>
    <mergeCell ref="S686:S693"/>
    <mergeCell ref="U686:U693"/>
    <mergeCell ref="V686:V693"/>
    <mergeCell ref="W686:W693"/>
    <mergeCell ref="Y686:Y693"/>
    <mergeCell ref="Z686:Z693"/>
    <mergeCell ref="AA686:AA693"/>
    <mergeCell ref="AB686:AB693"/>
    <mergeCell ref="AC686:AC693"/>
    <mergeCell ref="AD686:AD693"/>
    <mergeCell ref="AE686:AE693"/>
    <mergeCell ref="AF686:AF693"/>
    <mergeCell ref="AG686:AG693"/>
    <mergeCell ref="AH686:AH693"/>
    <mergeCell ref="AI686:AI693"/>
    <mergeCell ref="AJ686:AJ693"/>
    <mergeCell ref="AK686:AK693"/>
    <mergeCell ref="AL686:AL693"/>
    <mergeCell ref="AM686:AM693"/>
    <mergeCell ref="AN686:AN693"/>
    <mergeCell ref="AO686:AO693"/>
    <mergeCell ref="AW686:AW693"/>
    <mergeCell ref="AX686:AX693"/>
    <mergeCell ref="AY686:AY693"/>
    <mergeCell ref="AZ686:AZ693"/>
    <mergeCell ref="BA686:BA693"/>
    <mergeCell ref="BB686:BB693"/>
    <mergeCell ref="BC686:BC693"/>
    <mergeCell ref="BG694:BG698"/>
    <mergeCell ref="BH694:BH698"/>
    <mergeCell ref="BI694:BI698"/>
    <mergeCell ref="BJ694:BJ698"/>
    <mergeCell ref="BD686:BD693"/>
    <mergeCell ref="BE686:BE693"/>
    <mergeCell ref="BF686:BF693"/>
    <mergeCell ref="BG686:BG693"/>
    <mergeCell ref="BH686:BH693"/>
    <mergeCell ref="BI686:BI693"/>
    <mergeCell ref="BJ686:BJ693"/>
    <mergeCell ref="BI608:BI618"/>
    <mergeCell ref="BJ608:BJ618"/>
    <mergeCell ref="BB608:BB618"/>
    <mergeCell ref="BC608:BC618"/>
    <mergeCell ref="BD608:BD618"/>
    <mergeCell ref="BE608:BE618"/>
    <mergeCell ref="BF608:BF618"/>
    <mergeCell ref="BG608:BG618"/>
    <mergeCell ref="BH608:BH618"/>
    <mergeCell ref="J608:J618"/>
    <mergeCell ref="K608:K618"/>
    <mergeCell ref="L608:L618"/>
    <mergeCell ref="M608:M618"/>
    <mergeCell ref="N608:N618"/>
    <mergeCell ref="O608:O618"/>
    <mergeCell ref="P608:P618"/>
    <mergeCell ref="R608:R618"/>
    <mergeCell ref="S608:S618"/>
    <mergeCell ref="U608:U618"/>
    <mergeCell ref="V608:V618"/>
    <mergeCell ref="W608:W618"/>
    <mergeCell ref="X608:X618"/>
    <mergeCell ref="Y608:Y618"/>
    <mergeCell ref="Z608:Z618"/>
    <mergeCell ref="AA608:AA618"/>
    <mergeCell ref="AB608:AB618"/>
    <mergeCell ref="AC608:AC618"/>
    <mergeCell ref="AD608:AD618"/>
    <mergeCell ref="AE608:AE618"/>
    <mergeCell ref="AF608:AF618"/>
    <mergeCell ref="AG608:AG618"/>
    <mergeCell ref="AH608:AH618"/>
    <mergeCell ref="AI608:AI618"/>
    <mergeCell ref="AJ608:AJ618"/>
    <mergeCell ref="AK608:AK618"/>
    <mergeCell ref="AL608:AL618"/>
    <mergeCell ref="AM608:AM618"/>
    <mergeCell ref="AN608:AN618"/>
    <mergeCell ref="AO608:AO618"/>
    <mergeCell ref="AP608:AP618"/>
    <mergeCell ref="AQ608:AQ618"/>
    <mergeCell ref="AR608:AR618"/>
    <mergeCell ref="AS608:AS618"/>
    <mergeCell ref="AT608:AT618"/>
    <mergeCell ref="AU608:AU618"/>
    <mergeCell ref="AV608:AV618"/>
    <mergeCell ref="AW608:AW618"/>
    <mergeCell ref="AX608:AX618"/>
    <mergeCell ref="AY608:AY618"/>
    <mergeCell ref="AZ608:AZ618"/>
    <mergeCell ref="BA608:BA618"/>
    <mergeCell ref="A608:A618"/>
    <mergeCell ref="B608:B618"/>
    <mergeCell ref="C608:C618"/>
    <mergeCell ref="D608:D618"/>
    <mergeCell ref="G608:G618"/>
    <mergeCell ref="H608:H618"/>
    <mergeCell ref="I608:I618"/>
    <mergeCell ref="BH619:BH626"/>
    <mergeCell ref="BI619:BI626"/>
    <mergeCell ref="BJ619:BJ626"/>
    <mergeCell ref="BA619:BA626"/>
    <mergeCell ref="BB619:BB626"/>
    <mergeCell ref="BC619:BC626"/>
    <mergeCell ref="BD619:BD626"/>
    <mergeCell ref="BE619:BE626"/>
    <mergeCell ref="BF619:BF626"/>
    <mergeCell ref="BG619:BG626"/>
    <mergeCell ref="I619:I626"/>
    <mergeCell ref="J619:J626"/>
    <mergeCell ref="K619:K626"/>
    <mergeCell ref="L619:L626"/>
    <mergeCell ref="M619:M626"/>
    <mergeCell ref="N619:N626"/>
    <mergeCell ref="O619:O626"/>
    <mergeCell ref="P619:P626"/>
    <mergeCell ref="R619:R626"/>
    <mergeCell ref="T619:T626"/>
    <mergeCell ref="U619:U626"/>
    <mergeCell ref="V619:V626"/>
    <mergeCell ref="W619:W626"/>
    <mergeCell ref="X619:X626"/>
    <mergeCell ref="Y619:Y626"/>
    <mergeCell ref="Z619:Z626"/>
    <mergeCell ref="AA619:AA626"/>
    <mergeCell ref="AB619:AB626"/>
    <mergeCell ref="AC619:AC626"/>
    <mergeCell ref="AD619:AD626"/>
    <mergeCell ref="AE619:AE626"/>
    <mergeCell ref="AF619:AF626"/>
    <mergeCell ref="AG619:AG626"/>
    <mergeCell ref="AH619:AH626"/>
    <mergeCell ref="AI619:AI626"/>
    <mergeCell ref="AJ619:AJ626"/>
    <mergeCell ref="AK619:AK626"/>
    <mergeCell ref="AL619:AL626"/>
    <mergeCell ref="AM619:AM626"/>
    <mergeCell ref="AN619:AN626"/>
    <mergeCell ref="AO619:AO626"/>
    <mergeCell ref="AP619:AP626"/>
    <mergeCell ref="AQ619:AQ626"/>
    <mergeCell ref="AR619:AR626"/>
    <mergeCell ref="AS619:AS626"/>
    <mergeCell ref="AT619:AT626"/>
    <mergeCell ref="AU619:AU626"/>
    <mergeCell ref="AV619:AV626"/>
    <mergeCell ref="AW619:AW626"/>
    <mergeCell ref="AX619:AX626"/>
    <mergeCell ref="AY619:AY626"/>
    <mergeCell ref="AZ619:AZ626"/>
    <mergeCell ref="A619:A626"/>
    <mergeCell ref="B619:B626"/>
    <mergeCell ref="C619:C626"/>
    <mergeCell ref="D619:D626"/>
    <mergeCell ref="F619:F626"/>
    <mergeCell ref="G619:G626"/>
    <mergeCell ref="H619:H626"/>
    <mergeCell ref="A635:A639"/>
    <mergeCell ref="B635:B639"/>
    <mergeCell ref="C635:C639"/>
    <mergeCell ref="D635:D639"/>
    <mergeCell ref="G635:G639"/>
    <mergeCell ref="H635:H639"/>
    <mergeCell ref="I635:I639"/>
    <mergeCell ref="B640:E640"/>
    <mergeCell ref="J635:J639"/>
    <mergeCell ref="K635:K639"/>
    <mergeCell ref="L635:L639"/>
    <mergeCell ref="M635:M639"/>
    <mergeCell ref="N635:N639"/>
    <mergeCell ref="O635:O639"/>
    <mergeCell ref="P635:P639"/>
    <mergeCell ref="F640:BJ640"/>
    <mergeCell ref="AN641:AN653"/>
    <mergeCell ref="AO641:AO653"/>
    <mergeCell ref="AP641:AP653"/>
    <mergeCell ref="AQ641:AQ653"/>
    <mergeCell ref="AR641:AR653"/>
    <mergeCell ref="AS641:AS653"/>
    <mergeCell ref="AT641:AT653"/>
    <mergeCell ref="AU641:AU653"/>
    <mergeCell ref="AV641:AV653"/>
    <mergeCell ref="AW641:AW653"/>
    <mergeCell ref="AX641:AX653"/>
    <mergeCell ref="AY641:AY653"/>
    <mergeCell ref="AZ641:AZ653"/>
    <mergeCell ref="BA641:BA653"/>
    <mergeCell ref="BI641:BI653"/>
    <mergeCell ref="BJ641:BJ653"/>
    <mergeCell ref="BB641:BB653"/>
    <mergeCell ref="BC641:BC653"/>
    <mergeCell ref="BD641:BD653"/>
    <mergeCell ref="BE641:BE653"/>
    <mergeCell ref="BF641:BF653"/>
    <mergeCell ref="BG641:BG653"/>
    <mergeCell ref="BH641:BH653"/>
    <mergeCell ref="AO699:AO703"/>
    <mergeCell ref="AP699:AP703"/>
    <mergeCell ref="AQ699:AQ703"/>
    <mergeCell ref="AR699:AR703"/>
    <mergeCell ref="AS699:AS703"/>
    <mergeCell ref="AT699:AT703"/>
    <mergeCell ref="AU699:AU703"/>
    <mergeCell ref="AV699:AV703"/>
    <mergeCell ref="AW699:AW703"/>
    <mergeCell ref="AX699:AX703"/>
    <mergeCell ref="AY699:AY703"/>
    <mergeCell ref="AZ699:AZ703"/>
    <mergeCell ref="BA699:BA703"/>
    <mergeCell ref="BB699:BB703"/>
    <mergeCell ref="BJ699:BJ703"/>
    <mergeCell ref="F704:BJ704"/>
    <mergeCell ref="BC699:BC703"/>
    <mergeCell ref="BD699:BD703"/>
    <mergeCell ref="BE699:BE703"/>
    <mergeCell ref="BF699:BF703"/>
    <mergeCell ref="BG699:BG703"/>
    <mergeCell ref="BH699:BH703"/>
    <mergeCell ref="BI699:BI703"/>
    <mergeCell ref="BI731:BI741"/>
    <mergeCell ref="BJ731:BJ741"/>
    <mergeCell ref="BB731:BB741"/>
    <mergeCell ref="BC731:BC741"/>
    <mergeCell ref="BD731:BD741"/>
    <mergeCell ref="BE731:BE741"/>
    <mergeCell ref="BF731:BF741"/>
    <mergeCell ref="BG731:BG741"/>
    <mergeCell ref="BH731:BH741"/>
    <mergeCell ref="J731:J741"/>
    <mergeCell ref="K731:K741"/>
    <mergeCell ref="L731:L741"/>
    <mergeCell ref="M731:M741"/>
    <mergeCell ref="N731:N741"/>
    <mergeCell ref="O731:O741"/>
    <mergeCell ref="P731:P741"/>
    <mergeCell ref="R731:R741"/>
    <mergeCell ref="S731:S741"/>
    <mergeCell ref="U731:U741"/>
    <mergeCell ref="V731:V741"/>
    <mergeCell ref="W731:W741"/>
    <mergeCell ref="X731:X741"/>
    <mergeCell ref="Y731:Y741"/>
    <mergeCell ref="Z731:Z741"/>
    <mergeCell ref="AA731:AA741"/>
    <mergeCell ref="AB731:AB741"/>
    <mergeCell ref="AC731:AC741"/>
    <mergeCell ref="AD731:AD741"/>
    <mergeCell ref="AE731:AE741"/>
    <mergeCell ref="AF731:AF741"/>
    <mergeCell ref="AG731:AG741"/>
    <mergeCell ref="AH731:AH741"/>
    <mergeCell ref="AI731:AI741"/>
    <mergeCell ref="AJ731:AJ741"/>
    <mergeCell ref="AK731:AK741"/>
    <mergeCell ref="AL731:AL741"/>
    <mergeCell ref="AM731:AM741"/>
    <mergeCell ref="AN731:AN741"/>
    <mergeCell ref="AO731:AO741"/>
    <mergeCell ref="AP731:AP741"/>
    <mergeCell ref="AQ731:AQ741"/>
    <mergeCell ref="AR731:AR741"/>
    <mergeCell ref="AS731:AS741"/>
    <mergeCell ref="AT731:AT741"/>
    <mergeCell ref="AU731:AU741"/>
    <mergeCell ref="AV731:AV741"/>
    <mergeCell ref="AW731:AW741"/>
    <mergeCell ref="AX731:AX741"/>
    <mergeCell ref="AY731:AY741"/>
    <mergeCell ref="AZ731:AZ741"/>
    <mergeCell ref="BA731:BA741"/>
    <mergeCell ref="A731:A741"/>
    <mergeCell ref="B731:B741"/>
    <mergeCell ref="C731:C741"/>
    <mergeCell ref="D731:D741"/>
    <mergeCell ref="G731:G741"/>
    <mergeCell ref="H731:H741"/>
    <mergeCell ref="I731:I741"/>
    <mergeCell ref="J742:J749"/>
    <mergeCell ref="K742:K749"/>
    <mergeCell ref="L742:L749"/>
    <mergeCell ref="M742:M749"/>
    <mergeCell ref="N742:N749"/>
    <mergeCell ref="O742:O749"/>
    <mergeCell ref="R742:R749"/>
    <mergeCell ref="A742:A749"/>
    <mergeCell ref="B742:B749"/>
    <mergeCell ref="C742:C749"/>
    <mergeCell ref="D742:D749"/>
    <mergeCell ref="G742:G749"/>
    <mergeCell ref="H742:H749"/>
    <mergeCell ref="I742:I749"/>
    <mergeCell ref="AG750:AG757"/>
    <mergeCell ref="AH750:AH757"/>
    <mergeCell ref="Z750:Z757"/>
    <mergeCell ref="AA750:AA757"/>
    <mergeCell ref="AB750:AB757"/>
    <mergeCell ref="AC750:AC757"/>
    <mergeCell ref="AD750:AD757"/>
    <mergeCell ref="AE750:AE757"/>
    <mergeCell ref="AF750:AF757"/>
    <mergeCell ref="AP750:AP757"/>
    <mergeCell ref="AQ750:AQ757"/>
    <mergeCell ref="AI750:AI757"/>
    <mergeCell ref="AJ750:AJ757"/>
    <mergeCell ref="AK750:AK757"/>
    <mergeCell ref="AL750:AL757"/>
    <mergeCell ref="AM750:AM757"/>
    <mergeCell ref="AN750:AN757"/>
    <mergeCell ref="AO750:AO757"/>
    <mergeCell ref="AY750:AY757"/>
    <mergeCell ref="AZ750:AZ757"/>
    <mergeCell ref="AR750:AR757"/>
    <mergeCell ref="AS750:AS757"/>
    <mergeCell ref="AT750:AT757"/>
    <mergeCell ref="AU750:AU757"/>
    <mergeCell ref="AV750:AV757"/>
    <mergeCell ref="AW750:AW757"/>
    <mergeCell ref="AX750:AX757"/>
    <mergeCell ref="BH750:BH757"/>
    <mergeCell ref="BI750:BI757"/>
    <mergeCell ref="BA750:BA757"/>
    <mergeCell ref="BB750:BB757"/>
    <mergeCell ref="BC750:BC757"/>
    <mergeCell ref="BD750:BD757"/>
    <mergeCell ref="BE750:BE757"/>
    <mergeCell ref="BF750:BF757"/>
    <mergeCell ref="BG750:BG757"/>
    <mergeCell ref="S742:S749"/>
    <mergeCell ref="U742:U749"/>
    <mergeCell ref="V742:V749"/>
    <mergeCell ref="W742:W749"/>
    <mergeCell ref="X742:X749"/>
    <mergeCell ref="Y742:Y749"/>
    <mergeCell ref="Z742:Z749"/>
    <mergeCell ref="AA742:AA749"/>
    <mergeCell ref="AB742:AB749"/>
    <mergeCell ref="AC742:AC749"/>
    <mergeCell ref="AD742:AD749"/>
    <mergeCell ref="AE742:AE749"/>
    <mergeCell ref="AF742:AF749"/>
    <mergeCell ref="AG742:AG749"/>
    <mergeCell ref="R750:R757"/>
    <mergeCell ref="S750:S757"/>
    <mergeCell ref="U750:U757"/>
    <mergeCell ref="V750:V757"/>
    <mergeCell ref="W750:W757"/>
    <mergeCell ref="X750:X757"/>
    <mergeCell ref="Y750:Y757"/>
    <mergeCell ref="AH742:AH749"/>
    <mergeCell ref="AI742:AI749"/>
    <mergeCell ref="AJ742:AJ749"/>
    <mergeCell ref="AK742:AK749"/>
    <mergeCell ref="AL742:AL749"/>
    <mergeCell ref="AM742:AM749"/>
    <mergeCell ref="AN742:AN749"/>
    <mergeCell ref="AO742:AO749"/>
    <mergeCell ref="AP742:AP749"/>
    <mergeCell ref="AQ742:AQ749"/>
    <mergeCell ref="AR742:AR749"/>
    <mergeCell ref="AS742:AS749"/>
    <mergeCell ref="AT742:AT749"/>
    <mergeCell ref="AU742:AU749"/>
    <mergeCell ref="AV742:AV749"/>
    <mergeCell ref="AW742:AW749"/>
    <mergeCell ref="AX742:AX749"/>
    <mergeCell ref="AY742:AY749"/>
    <mergeCell ref="AZ742:AZ749"/>
    <mergeCell ref="BA742:BA749"/>
    <mergeCell ref="BB742:BB749"/>
    <mergeCell ref="BJ742:BJ749"/>
    <mergeCell ref="BJ750:BJ757"/>
    <mergeCell ref="BC742:BC749"/>
    <mergeCell ref="BD742:BD749"/>
    <mergeCell ref="BE742:BE749"/>
    <mergeCell ref="BF742:BF749"/>
    <mergeCell ref="BG742:BG749"/>
    <mergeCell ref="BH742:BH749"/>
    <mergeCell ref="BI742:BI749"/>
    <mergeCell ref="Y705:Y717"/>
    <mergeCell ref="Z705:Z717"/>
    <mergeCell ref="P705:P717"/>
    <mergeCell ref="R705:R717"/>
    <mergeCell ref="S705:S717"/>
    <mergeCell ref="U705:U717"/>
    <mergeCell ref="V705:V717"/>
    <mergeCell ref="W705:W717"/>
    <mergeCell ref="X705:X717"/>
    <mergeCell ref="AH705:AH717"/>
    <mergeCell ref="AI705:AI717"/>
    <mergeCell ref="AA705:AA717"/>
    <mergeCell ref="AB705:AB717"/>
    <mergeCell ref="AC705:AC717"/>
    <mergeCell ref="AD705:AD717"/>
    <mergeCell ref="AE705:AE717"/>
    <mergeCell ref="AF705:AF717"/>
    <mergeCell ref="AG705:AG717"/>
    <mergeCell ref="AJ705:AJ717"/>
    <mergeCell ref="AK705:AK717"/>
    <mergeCell ref="AL705:AL717"/>
    <mergeCell ref="AM705:AM717"/>
    <mergeCell ref="AN705:AN717"/>
    <mergeCell ref="AO705:AO717"/>
    <mergeCell ref="AP705:AP717"/>
    <mergeCell ref="AQ705:AQ717"/>
    <mergeCell ref="AR705:AR717"/>
    <mergeCell ref="AS705:AS717"/>
    <mergeCell ref="AT705:AT717"/>
    <mergeCell ref="AU705:AU717"/>
    <mergeCell ref="AV705:AV717"/>
    <mergeCell ref="AW705:AW717"/>
    <mergeCell ref="BE705:BE717"/>
    <mergeCell ref="BF705:BF717"/>
    <mergeCell ref="BG705:BG717"/>
    <mergeCell ref="BH705:BH717"/>
    <mergeCell ref="BI705:BI717"/>
    <mergeCell ref="BJ705:BJ717"/>
    <mergeCell ref="AX705:AX717"/>
    <mergeCell ref="AY705:AY717"/>
    <mergeCell ref="AZ705:AZ717"/>
    <mergeCell ref="BA705:BA717"/>
    <mergeCell ref="BB705:BB717"/>
    <mergeCell ref="BC705:BC717"/>
    <mergeCell ref="BD705:BD717"/>
    <mergeCell ref="S694:S698"/>
    <mergeCell ref="U694:U698"/>
    <mergeCell ref="K694:K698"/>
    <mergeCell ref="L694:L698"/>
    <mergeCell ref="M694:M698"/>
    <mergeCell ref="N694:N698"/>
    <mergeCell ref="O694:O698"/>
    <mergeCell ref="P694:P698"/>
    <mergeCell ref="R694:R698"/>
    <mergeCell ref="J699:J703"/>
    <mergeCell ref="K699:K703"/>
    <mergeCell ref="L699:L703"/>
    <mergeCell ref="M699:M703"/>
    <mergeCell ref="N699:N703"/>
    <mergeCell ref="O699:O703"/>
    <mergeCell ref="P699:P703"/>
    <mergeCell ref="R699:R703"/>
    <mergeCell ref="S699:S703"/>
    <mergeCell ref="U699:U703"/>
    <mergeCell ref="V699:V703"/>
    <mergeCell ref="W699:W703"/>
    <mergeCell ref="Y699:Y703"/>
    <mergeCell ref="Z699:Z703"/>
    <mergeCell ref="I705:I717"/>
    <mergeCell ref="J705:J717"/>
    <mergeCell ref="K705:K717"/>
    <mergeCell ref="L705:L717"/>
    <mergeCell ref="M705:M717"/>
    <mergeCell ref="N705:N717"/>
    <mergeCell ref="O705:O717"/>
    <mergeCell ref="AA699:AA703"/>
    <mergeCell ref="AB699:AB703"/>
    <mergeCell ref="AC699:AC703"/>
    <mergeCell ref="AD699:AD703"/>
    <mergeCell ref="AE699:AE703"/>
    <mergeCell ref="AF699:AF703"/>
    <mergeCell ref="AG699:AG703"/>
    <mergeCell ref="AH699:AH703"/>
    <mergeCell ref="AI699:AI703"/>
    <mergeCell ref="AJ699:AJ703"/>
    <mergeCell ref="AK699:AK703"/>
    <mergeCell ref="AL699:AL703"/>
    <mergeCell ref="AM699:AM703"/>
    <mergeCell ref="AN699:AN703"/>
    <mergeCell ref="AM718:AM730"/>
    <mergeCell ref="AN718:AN730"/>
    <mergeCell ref="AO718:AO730"/>
    <mergeCell ref="AP718:AP730"/>
    <mergeCell ref="AQ718:AQ730"/>
    <mergeCell ref="AR718:AR730"/>
    <mergeCell ref="AS718:AS730"/>
    <mergeCell ref="AT718:AT730"/>
    <mergeCell ref="AU718:AU730"/>
    <mergeCell ref="AV718:AV730"/>
    <mergeCell ref="AW718:AW730"/>
    <mergeCell ref="AX718:AX730"/>
    <mergeCell ref="AY718:AY730"/>
    <mergeCell ref="AZ718:AZ730"/>
    <mergeCell ref="BH718:BH730"/>
    <mergeCell ref="BI718:BI730"/>
    <mergeCell ref="BJ718:BJ730"/>
    <mergeCell ref="BA718:BA730"/>
    <mergeCell ref="BB718:BB730"/>
    <mergeCell ref="BC718:BC730"/>
    <mergeCell ref="BD718:BD730"/>
    <mergeCell ref="BE718:BE730"/>
    <mergeCell ref="BF718:BF730"/>
    <mergeCell ref="BG718:BG730"/>
    <mergeCell ref="B699:B703"/>
    <mergeCell ref="C699:C703"/>
    <mergeCell ref="D699:D703"/>
    <mergeCell ref="G699:G703"/>
    <mergeCell ref="H699:H703"/>
    <mergeCell ref="I699:I703"/>
    <mergeCell ref="B704:E704"/>
    <mergeCell ref="A699:A703"/>
    <mergeCell ref="A705:A717"/>
    <mergeCell ref="B705:B717"/>
    <mergeCell ref="C705:C717"/>
    <mergeCell ref="D705:D717"/>
    <mergeCell ref="G705:G717"/>
    <mergeCell ref="H705:H717"/>
    <mergeCell ref="J718:J730"/>
    <mergeCell ref="K718:K730"/>
    <mergeCell ref="L718:L730"/>
    <mergeCell ref="M718:M730"/>
    <mergeCell ref="N718:N730"/>
    <mergeCell ref="O718:O730"/>
    <mergeCell ref="P718:P730"/>
    <mergeCell ref="Q718:Q730"/>
    <mergeCell ref="R718:R730"/>
    <mergeCell ref="S718:S730"/>
    <mergeCell ref="U718:U730"/>
    <mergeCell ref="V718:V730"/>
    <mergeCell ref="W718:W730"/>
    <mergeCell ref="X718:X730"/>
    <mergeCell ref="Y718:Y730"/>
    <mergeCell ref="Z718:Z730"/>
    <mergeCell ref="AA718:AA730"/>
    <mergeCell ref="AB718:AB730"/>
    <mergeCell ref="AC718:AC730"/>
    <mergeCell ref="AD718:AD730"/>
    <mergeCell ref="AE718:AE730"/>
    <mergeCell ref="AF718:AF730"/>
    <mergeCell ref="AG718:AG730"/>
    <mergeCell ref="AH718:AH730"/>
    <mergeCell ref="AI718:AI730"/>
    <mergeCell ref="AJ718:AJ730"/>
    <mergeCell ref="AK718:AK730"/>
    <mergeCell ref="AL718:AL730"/>
    <mergeCell ref="A718:A730"/>
    <mergeCell ref="B718:B730"/>
    <mergeCell ref="C718:C730"/>
    <mergeCell ref="D718:D730"/>
    <mergeCell ref="G718:G730"/>
    <mergeCell ref="H718:H730"/>
    <mergeCell ref="I718:I730"/>
    <mergeCell ref="AO758:AO762"/>
    <mergeCell ref="AP758:AP762"/>
    <mergeCell ref="AQ758:AQ762"/>
    <mergeCell ref="AR758:AR762"/>
    <mergeCell ref="AS758:AS762"/>
    <mergeCell ref="AT758:AT762"/>
    <mergeCell ref="AU758:AU762"/>
    <mergeCell ref="BC758:BC762"/>
    <mergeCell ref="BD758:BD762"/>
    <mergeCell ref="BE758:BE762"/>
    <mergeCell ref="BF758:BF762"/>
    <mergeCell ref="BG758:BG762"/>
    <mergeCell ref="BH758:BH762"/>
    <mergeCell ref="BI758:BI762"/>
    <mergeCell ref="BJ758:BJ762"/>
    <mergeCell ref="AV758:AV762"/>
    <mergeCell ref="AW758:AW762"/>
    <mergeCell ref="AX758:AX762"/>
    <mergeCell ref="AY758:AY762"/>
    <mergeCell ref="AZ758:AZ762"/>
    <mergeCell ref="BA758:BA762"/>
    <mergeCell ref="BB758:BB762"/>
    <mergeCell ref="BI763:BI767"/>
    <mergeCell ref="BJ763:BJ767"/>
    <mergeCell ref="BB763:BB767"/>
    <mergeCell ref="BC763:BC767"/>
    <mergeCell ref="BD763:BD767"/>
    <mergeCell ref="BE763:BE767"/>
    <mergeCell ref="BF763:BF767"/>
    <mergeCell ref="BG763:BG767"/>
    <mergeCell ref="BH763:BH767"/>
    <mergeCell ref="A763:A767"/>
    <mergeCell ref="B763:B767"/>
    <mergeCell ref="C763:C767"/>
    <mergeCell ref="D763:D767"/>
    <mergeCell ref="F763:F767"/>
    <mergeCell ref="H763:H767"/>
    <mergeCell ref="I763:I767"/>
    <mergeCell ref="B768:E768"/>
    <mergeCell ref="J763:J767"/>
    <mergeCell ref="K763:K767"/>
    <mergeCell ref="L763:L767"/>
    <mergeCell ref="M763:M767"/>
    <mergeCell ref="N763:N767"/>
    <mergeCell ref="O763:O767"/>
    <mergeCell ref="P763:P767"/>
    <mergeCell ref="R763:R767"/>
    <mergeCell ref="S763:S767"/>
    <mergeCell ref="U763:U767"/>
    <mergeCell ref="V763:V767"/>
    <mergeCell ref="W763:W767"/>
    <mergeCell ref="X763:X767"/>
    <mergeCell ref="Y763:Y767"/>
    <mergeCell ref="F768:BJ768"/>
    <mergeCell ref="Z763:Z767"/>
    <mergeCell ref="AA763:AA767"/>
    <mergeCell ref="AB763:AB767"/>
    <mergeCell ref="AC763:AC767"/>
    <mergeCell ref="AD763:AD767"/>
    <mergeCell ref="AE763:AE767"/>
    <mergeCell ref="AF763:AF767"/>
    <mergeCell ref="AG763:AG767"/>
    <mergeCell ref="AH763:AH767"/>
    <mergeCell ref="AI763:AI767"/>
    <mergeCell ref="AJ763:AJ767"/>
    <mergeCell ref="AK763:AK767"/>
    <mergeCell ref="AL763:AL767"/>
    <mergeCell ref="AM763:AM767"/>
    <mergeCell ref="AN763:AN767"/>
    <mergeCell ref="AO763:AO767"/>
    <mergeCell ref="AP763:AP767"/>
    <mergeCell ref="AQ763:AQ767"/>
    <mergeCell ref="AR763:AR767"/>
    <mergeCell ref="AS763:AS767"/>
    <mergeCell ref="AT763:AT767"/>
    <mergeCell ref="AU763:AU767"/>
    <mergeCell ref="AV763:AV767"/>
    <mergeCell ref="AW763:AW767"/>
    <mergeCell ref="AX763:AX767"/>
    <mergeCell ref="AY763:AY767"/>
    <mergeCell ref="AZ763:AZ767"/>
    <mergeCell ref="BA763:BA767"/>
    <mergeCell ref="J750:J757"/>
    <mergeCell ref="K750:K757"/>
    <mergeCell ref="L750:L757"/>
    <mergeCell ref="M750:M757"/>
    <mergeCell ref="N750:N757"/>
    <mergeCell ref="O750:O757"/>
    <mergeCell ref="P750:P757"/>
    <mergeCell ref="A750:A757"/>
    <mergeCell ref="B750:B757"/>
    <mergeCell ref="C750:C757"/>
    <mergeCell ref="D750:D757"/>
    <mergeCell ref="G750:G757"/>
    <mergeCell ref="H750:H757"/>
    <mergeCell ref="I750:I757"/>
    <mergeCell ref="K758:K762"/>
    <mergeCell ref="L758:L762"/>
    <mergeCell ref="M758:M762"/>
    <mergeCell ref="N758:N762"/>
    <mergeCell ref="O758:O762"/>
    <mergeCell ref="P758:P762"/>
    <mergeCell ref="R758:R762"/>
    <mergeCell ref="S758:S762"/>
    <mergeCell ref="U758:U762"/>
    <mergeCell ref="V758:V762"/>
    <mergeCell ref="W758:W762"/>
    <mergeCell ref="X758:X762"/>
    <mergeCell ref="Y758:Y762"/>
    <mergeCell ref="Z758:Z762"/>
    <mergeCell ref="AA758:AA762"/>
    <mergeCell ref="AB758:AB762"/>
    <mergeCell ref="AC758:AC762"/>
    <mergeCell ref="AD758:AD762"/>
    <mergeCell ref="AE758:AE762"/>
    <mergeCell ref="AF758:AF762"/>
    <mergeCell ref="AG758:AG762"/>
    <mergeCell ref="AH758:AH762"/>
    <mergeCell ref="AI758:AI762"/>
    <mergeCell ref="AJ758:AJ762"/>
    <mergeCell ref="AK758:AK762"/>
    <mergeCell ref="AL758:AL762"/>
    <mergeCell ref="AM758:AM762"/>
    <mergeCell ref="AN758:AN762"/>
    <mergeCell ref="A758:A762"/>
    <mergeCell ref="B758:B762"/>
    <mergeCell ref="C758:C762"/>
    <mergeCell ref="D758:D762"/>
    <mergeCell ref="G758:G762"/>
    <mergeCell ref="I758:I762"/>
    <mergeCell ref="J758:J762"/>
    <mergeCell ref="BI769:BI781"/>
    <mergeCell ref="BJ769:BJ781"/>
    <mergeCell ref="BB769:BB781"/>
    <mergeCell ref="BC769:BC781"/>
    <mergeCell ref="BD769:BD781"/>
    <mergeCell ref="BE769:BE781"/>
    <mergeCell ref="BF769:BF781"/>
    <mergeCell ref="BG769:BG781"/>
    <mergeCell ref="BH769:BH781"/>
    <mergeCell ref="I769:I781"/>
    <mergeCell ref="J769:J781"/>
    <mergeCell ref="K769:K781"/>
    <mergeCell ref="M769:M781"/>
    <mergeCell ref="N769:N781"/>
    <mergeCell ref="O769:O781"/>
    <mergeCell ref="P769:P781"/>
    <mergeCell ref="Q769:Q781"/>
    <mergeCell ref="R769:R781"/>
    <mergeCell ref="S769:S781"/>
    <mergeCell ref="U769:U781"/>
    <mergeCell ref="V769:V781"/>
    <mergeCell ref="W769:W781"/>
    <mergeCell ref="Y769:Y781"/>
    <mergeCell ref="Z769:Z781"/>
    <mergeCell ref="AA769:AA781"/>
    <mergeCell ref="AB769:AB781"/>
    <mergeCell ref="AC769:AC781"/>
    <mergeCell ref="AD769:AD781"/>
    <mergeCell ref="AE769:AE781"/>
    <mergeCell ref="AF769:AF781"/>
    <mergeCell ref="AG769:AG781"/>
    <mergeCell ref="AH769:AH781"/>
    <mergeCell ref="AI769:AI781"/>
    <mergeCell ref="AJ769:AJ781"/>
    <mergeCell ref="AK769:AK781"/>
    <mergeCell ref="AL769:AL781"/>
    <mergeCell ref="AM769:AM781"/>
    <mergeCell ref="AN769:AN781"/>
    <mergeCell ref="AO769:AO781"/>
    <mergeCell ref="AP769:AP781"/>
    <mergeCell ref="AQ769:AQ781"/>
    <mergeCell ref="AR769:AR781"/>
    <mergeCell ref="AS769:AS781"/>
    <mergeCell ref="AT769:AT781"/>
    <mergeCell ref="AU769:AU781"/>
    <mergeCell ref="AV769:AV781"/>
    <mergeCell ref="AW769:AW781"/>
    <mergeCell ref="AX769:AX781"/>
    <mergeCell ref="AY769:AY781"/>
    <mergeCell ref="AZ769:AZ781"/>
    <mergeCell ref="BA769:BA781"/>
    <mergeCell ref="A769:A781"/>
    <mergeCell ref="B769:B781"/>
    <mergeCell ref="C769:C781"/>
    <mergeCell ref="D769:D781"/>
    <mergeCell ref="F769:F781"/>
    <mergeCell ref="G769:G781"/>
    <mergeCell ref="H769:H781"/>
    <mergeCell ref="BI782:BI792"/>
    <mergeCell ref="BJ782:BJ792"/>
    <mergeCell ref="BB782:BB792"/>
    <mergeCell ref="BC782:BC792"/>
    <mergeCell ref="BD782:BD792"/>
    <mergeCell ref="BE782:BE792"/>
    <mergeCell ref="BF782:BF792"/>
    <mergeCell ref="BG782:BG792"/>
    <mergeCell ref="BH782:BH792"/>
    <mergeCell ref="I782:I792"/>
    <mergeCell ref="J782:J792"/>
    <mergeCell ref="K782:K792"/>
    <mergeCell ref="L782:L792"/>
    <mergeCell ref="M782:M792"/>
    <mergeCell ref="N782:N792"/>
    <mergeCell ref="O782:O792"/>
    <mergeCell ref="P782:P792"/>
    <mergeCell ref="T782:T792"/>
    <mergeCell ref="U782:U792"/>
    <mergeCell ref="V782:V792"/>
    <mergeCell ref="W782:W792"/>
    <mergeCell ref="X782:X792"/>
    <mergeCell ref="Y782:Y792"/>
    <mergeCell ref="Z782:Z792"/>
    <mergeCell ref="AA782:AA792"/>
    <mergeCell ref="AB782:AB792"/>
    <mergeCell ref="AC782:AC792"/>
    <mergeCell ref="AD782:AD792"/>
    <mergeCell ref="AE782:AE792"/>
    <mergeCell ref="AF782:AF792"/>
    <mergeCell ref="AG782:AG792"/>
    <mergeCell ref="AH782:AH792"/>
    <mergeCell ref="AI782:AI792"/>
    <mergeCell ref="AJ782:AJ792"/>
    <mergeCell ref="AK782:AK792"/>
    <mergeCell ref="AL782:AL792"/>
    <mergeCell ref="AM782:AM792"/>
    <mergeCell ref="AN782:AN792"/>
    <mergeCell ref="AO782:AO792"/>
    <mergeCell ref="AP782:AP792"/>
    <mergeCell ref="AQ782:AQ792"/>
    <mergeCell ref="AR782:AR792"/>
    <mergeCell ref="AS782:AS792"/>
    <mergeCell ref="AT782:AT792"/>
    <mergeCell ref="AU782:AU792"/>
    <mergeCell ref="AV782:AV792"/>
    <mergeCell ref="AW782:AW792"/>
    <mergeCell ref="AX782:AX792"/>
    <mergeCell ref="AY782:AY792"/>
    <mergeCell ref="AZ782:AZ792"/>
    <mergeCell ref="BA782:BA792"/>
    <mergeCell ref="A782:A792"/>
    <mergeCell ref="B782:B792"/>
    <mergeCell ref="C782:C792"/>
    <mergeCell ref="D782:D792"/>
    <mergeCell ref="F782:F792"/>
    <mergeCell ref="G782:G792"/>
    <mergeCell ref="H782:H792"/>
    <mergeCell ref="AM1028:AM1040"/>
    <mergeCell ref="AN1028:AN1040"/>
    <mergeCell ref="AO1028:AO1040"/>
    <mergeCell ref="AP1028:AP1040"/>
    <mergeCell ref="AQ1028:AQ1040"/>
    <mergeCell ref="AR1028:AR1040"/>
    <mergeCell ref="AS1028:AS1040"/>
    <mergeCell ref="U1041:U1051"/>
    <mergeCell ref="V1041:V1051"/>
    <mergeCell ref="W1041:W1051"/>
    <mergeCell ref="X1041:X1051"/>
    <mergeCell ref="Y1041:Y1051"/>
    <mergeCell ref="Z1041:Z1051"/>
    <mergeCell ref="AA1041:AA1051"/>
    <mergeCell ref="AB1041:AB1051"/>
    <mergeCell ref="AC1041:AC1051"/>
    <mergeCell ref="AD1041:AD1051"/>
    <mergeCell ref="AE1041:AE1051"/>
    <mergeCell ref="AF1041:AF1051"/>
    <mergeCell ref="AG1041:AG1051"/>
    <mergeCell ref="AH1041:AH1051"/>
    <mergeCell ref="G1041:G1051"/>
    <mergeCell ref="G1052:G1064"/>
    <mergeCell ref="U1052:U1064"/>
    <mergeCell ref="V1052:V1064"/>
    <mergeCell ref="W1052:W1064"/>
    <mergeCell ref="X1052:X1064"/>
    <mergeCell ref="Y1052:Y1064"/>
    <mergeCell ref="Z1052:Z1064"/>
    <mergeCell ref="AA1052:AA1064"/>
    <mergeCell ref="AI1041:AI1051"/>
    <mergeCell ref="AJ1041:AJ1051"/>
    <mergeCell ref="AK1041:AK1051"/>
    <mergeCell ref="AL1041:AL1051"/>
    <mergeCell ref="AM1041:AM1051"/>
    <mergeCell ref="AN1041:AN1051"/>
    <mergeCell ref="AO1041:AO1051"/>
    <mergeCell ref="AT1028:AT1040"/>
    <mergeCell ref="AU1028:AU1040"/>
    <mergeCell ref="AT1052:AT1064"/>
    <mergeCell ref="AU1052:AU1064"/>
    <mergeCell ref="AV1052:AV1064"/>
    <mergeCell ref="AW1052:AW1064"/>
    <mergeCell ref="AX1052:AX1064"/>
    <mergeCell ref="AA1073:AA1077"/>
    <mergeCell ref="AB1073:AB1077"/>
    <mergeCell ref="AC1073:AC1077"/>
    <mergeCell ref="AD1073:AD1077"/>
    <mergeCell ref="AE1073:AE1077"/>
    <mergeCell ref="AF1073:AF1077"/>
    <mergeCell ref="AG1073:AG1077"/>
    <mergeCell ref="AQ1073:AQ1077"/>
    <mergeCell ref="AR1073:AR1077"/>
    <mergeCell ref="AS1073:AS1077"/>
    <mergeCell ref="AT1073:AT1077"/>
    <mergeCell ref="AU1073:AU1077"/>
    <mergeCell ref="AV1073:AV1077"/>
    <mergeCell ref="AW1073:AW1077"/>
    <mergeCell ref="AX1073:AX1077"/>
    <mergeCell ref="AH1073:AH1077"/>
    <mergeCell ref="AI1073:AI1077"/>
    <mergeCell ref="AL1073:AL1077"/>
    <mergeCell ref="AM1073:AM1077"/>
    <mergeCell ref="AN1073:AN1077"/>
    <mergeCell ref="AO1073:AO1077"/>
    <mergeCell ref="AP1073:AP1077"/>
    <mergeCell ref="AA1078:AA1082"/>
    <mergeCell ref="AB1078:AB1082"/>
    <mergeCell ref="S1078:S1082"/>
    <mergeCell ref="U1078:U1082"/>
    <mergeCell ref="V1078:V1082"/>
    <mergeCell ref="W1078:W1082"/>
    <mergeCell ref="X1078:X1082"/>
    <mergeCell ref="Y1078:Y1082"/>
    <mergeCell ref="Z1078:Z1082"/>
    <mergeCell ref="AC1078:AC1082"/>
    <mergeCell ref="AD1078:AD1082"/>
    <mergeCell ref="AE1078:AE1082"/>
    <mergeCell ref="AF1078:AF1082"/>
    <mergeCell ref="AG1078:AG1082"/>
    <mergeCell ref="AH1078:AH1082"/>
    <mergeCell ref="AI1078:AI1082"/>
    <mergeCell ref="AJ1078:AJ1082"/>
    <mergeCell ref="AK1078:AK1082"/>
    <mergeCell ref="AL1078:AL1082"/>
    <mergeCell ref="AM1078:AM1082"/>
    <mergeCell ref="AN1078:AN1082"/>
    <mergeCell ref="AO1078:AO1082"/>
    <mergeCell ref="AP1078:AP1082"/>
    <mergeCell ref="AQ1078:AQ1082"/>
    <mergeCell ref="AR1078:AR1082"/>
    <mergeCell ref="AS1078:AS1082"/>
    <mergeCell ref="AT1078:AT1082"/>
    <mergeCell ref="AU1078:AU1082"/>
    <mergeCell ref="AV1078:AV1082"/>
    <mergeCell ref="AW1078:AW1082"/>
    <mergeCell ref="BE1078:BE1082"/>
    <mergeCell ref="BF1078:BF1082"/>
    <mergeCell ref="BG1078:BG1082"/>
    <mergeCell ref="BH1078:BH1082"/>
    <mergeCell ref="BI1078:BI1082"/>
    <mergeCell ref="BJ1078:BJ1082"/>
    <mergeCell ref="AX1078:AX1082"/>
    <mergeCell ref="AY1078:AY1082"/>
    <mergeCell ref="AZ1078:AZ1082"/>
    <mergeCell ref="BA1078:BA1082"/>
    <mergeCell ref="BB1078:BB1082"/>
    <mergeCell ref="BC1078:BC1082"/>
    <mergeCell ref="BD1078:BD1082"/>
    <mergeCell ref="AP1083:AP1095"/>
    <mergeCell ref="AQ1083:AQ1095"/>
    <mergeCell ref="AR1083:AR1095"/>
    <mergeCell ref="AS1083:AS1095"/>
    <mergeCell ref="AT1083:AT1095"/>
    <mergeCell ref="AU1083:AU1095"/>
    <mergeCell ref="AV1083:AV1095"/>
    <mergeCell ref="BD1083:BD1095"/>
    <mergeCell ref="BE1083:BE1095"/>
    <mergeCell ref="BF1083:BF1095"/>
    <mergeCell ref="BG1083:BG1095"/>
    <mergeCell ref="BH1083:BH1095"/>
    <mergeCell ref="BI1083:BI1095"/>
    <mergeCell ref="BJ1083:BJ1095"/>
    <mergeCell ref="AW1083:AW1095"/>
    <mergeCell ref="AX1083:AX1095"/>
    <mergeCell ref="AY1083:AY1095"/>
    <mergeCell ref="AZ1083:AZ1095"/>
    <mergeCell ref="BA1083:BA1095"/>
    <mergeCell ref="BB1083:BB1095"/>
    <mergeCell ref="BC1083:BC1095"/>
    <mergeCell ref="Q1078:Q1082"/>
    <mergeCell ref="R1078:R1082"/>
    <mergeCell ref="J1078:J1082"/>
    <mergeCell ref="K1078:K1082"/>
    <mergeCell ref="L1078:L1082"/>
    <mergeCell ref="M1078:M1082"/>
    <mergeCell ref="N1078:N1082"/>
    <mergeCell ref="O1078:O1082"/>
    <mergeCell ref="P1078:P1082"/>
    <mergeCell ref="A1083:D1095"/>
    <mergeCell ref="G1083:G1095"/>
    <mergeCell ref="H1083:H1095"/>
    <mergeCell ref="I1083:I1095"/>
    <mergeCell ref="J1083:J1095"/>
    <mergeCell ref="K1083:K1095"/>
    <mergeCell ref="L1083:L1095"/>
    <mergeCell ref="M1083:M1095"/>
    <mergeCell ref="N1083:N1095"/>
    <mergeCell ref="O1083:O1095"/>
    <mergeCell ref="P1083:P1095"/>
    <mergeCell ref="Q1083:Q1095"/>
    <mergeCell ref="R1083:R1095"/>
    <mergeCell ref="S1083:S1095"/>
    <mergeCell ref="U1083:U1095"/>
    <mergeCell ref="V1083:V1095"/>
    <mergeCell ref="W1083:W1095"/>
    <mergeCell ref="X1083:X1095"/>
    <mergeCell ref="Y1083:Y1095"/>
    <mergeCell ref="Z1083:Z1095"/>
    <mergeCell ref="AA1083:AA1095"/>
    <mergeCell ref="AB1083:AB1095"/>
    <mergeCell ref="AC1083:AC1095"/>
    <mergeCell ref="AD1083:AD1095"/>
    <mergeCell ref="AE1083:AE1095"/>
    <mergeCell ref="AF1083:AF1095"/>
    <mergeCell ref="AG1083:AG1095"/>
    <mergeCell ref="AH1083:AH1095"/>
    <mergeCell ref="AI1083:AI1095"/>
    <mergeCell ref="AJ1083:AJ1095"/>
    <mergeCell ref="AK1083:AK1095"/>
    <mergeCell ref="AL1083:AL1095"/>
    <mergeCell ref="AM1083:AM1095"/>
    <mergeCell ref="AN1083:AN1095"/>
    <mergeCell ref="AO1083:AO1095"/>
    <mergeCell ref="AT1096:AT1108"/>
    <mergeCell ref="AU1096:AU1108"/>
    <mergeCell ref="AV1096:AV1108"/>
    <mergeCell ref="AW1096:AW1108"/>
    <mergeCell ref="AX1096:AX1108"/>
    <mergeCell ref="AY1096:AY1108"/>
    <mergeCell ref="AZ1096:AZ1108"/>
    <mergeCell ref="BH1096:BH1108"/>
    <mergeCell ref="BI1096:BI1108"/>
    <mergeCell ref="BJ1096:BJ1108"/>
    <mergeCell ref="BA1096:BA1108"/>
    <mergeCell ref="BB1096:BB1108"/>
    <mergeCell ref="BC1096:BC1108"/>
    <mergeCell ref="BD1096:BD1108"/>
    <mergeCell ref="BE1096:BE1108"/>
    <mergeCell ref="BF1096:BF1108"/>
    <mergeCell ref="BG1096:BG1108"/>
    <mergeCell ref="A1052:D1064"/>
    <mergeCell ref="A1065:D1072"/>
    <mergeCell ref="A1073:D1077"/>
    <mergeCell ref="A1078:D1082"/>
    <mergeCell ref="A1041:D1051"/>
    <mergeCell ref="H1041:H1051"/>
    <mergeCell ref="I1041:I1051"/>
    <mergeCell ref="J1041:J1051"/>
    <mergeCell ref="K1041:K1051"/>
    <mergeCell ref="L1041:L1051"/>
    <mergeCell ref="L1052:L1064"/>
    <mergeCell ref="AJ1073:AJ1077"/>
    <mergeCell ref="AK1073:AK1077"/>
    <mergeCell ref="AE1065:AE1072"/>
    <mergeCell ref="AF1065:AF1072"/>
    <mergeCell ref="AG1065:AG1072"/>
    <mergeCell ref="AH1065:AH1072"/>
    <mergeCell ref="AI1065:AI1072"/>
    <mergeCell ref="AJ1065:AJ1072"/>
    <mergeCell ref="AK1065:AK1072"/>
    <mergeCell ref="J1052:J1064"/>
    <mergeCell ref="K1052:K1064"/>
    <mergeCell ref="J1065:J1072"/>
    <mergeCell ref="K1065:K1072"/>
    <mergeCell ref="M1065:M1072"/>
    <mergeCell ref="N1065:N1072"/>
    <mergeCell ref="O1065:O1072"/>
    <mergeCell ref="P1065:P1072"/>
    <mergeCell ref="Q1065:Q1072"/>
    <mergeCell ref="R1065:R1072"/>
    <mergeCell ref="S1065:S1072"/>
    <mergeCell ref="U1065:U1072"/>
    <mergeCell ref="V1065:V1072"/>
    <mergeCell ref="W1065:W1072"/>
    <mergeCell ref="X1065:X1072"/>
    <mergeCell ref="Y1065:Y1072"/>
    <mergeCell ref="Z1065:Z1072"/>
    <mergeCell ref="AA1065:AA1072"/>
    <mergeCell ref="AB1065:AB1072"/>
    <mergeCell ref="AC1065:AC1072"/>
    <mergeCell ref="AD1065:AD1072"/>
    <mergeCell ref="W1109:W1119"/>
    <mergeCell ref="X1109:X1119"/>
    <mergeCell ref="O1109:O1119"/>
    <mergeCell ref="P1109:P1119"/>
    <mergeCell ref="Q1109:Q1119"/>
    <mergeCell ref="R1109:R1119"/>
    <mergeCell ref="S1109:S1119"/>
    <mergeCell ref="U1109:U1119"/>
    <mergeCell ref="V1109:V1119"/>
    <mergeCell ref="AF1109:AF1119"/>
    <mergeCell ref="AG1109:AG1119"/>
    <mergeCell ref="Y1109:Y1119"/>
    <mergeCell ref="Z1109:Z1119"/>
    <mergeCell ref="AA1109:AA1119"/>
    <mergeCell ref="AB1109:AB1119"/>
    <mergeCell ref="AC1109:AC1119"/>
    <mergeCell ref="AD1109:AD1119"/>
    <mergeCell ref="AE1109:AE1119"/>
    <mergeCell ref="AH1109:AH1119"/>
    <mergeCell ref="AI1109:AI1119"/>
    <mergeCell ref="AJ1109:AJ1119"/>
    <mergeCell ref="AK1109:AK1119"/>
    <mergeCell ref="AL1109:AL1119"/>
    <mergeCell ref="AM1109:AM1119"/>
    <mergeCell ref="AN1109:AN1119"/>
    <mergeCell ref="AO1109:AO1119"/>
    <mergeCell ref="AP1109:AP1119"/>
    <mergeCell ref="AT1109:AT1119"/>
    <mergeCell ref="AU1109:AU1119"/>
    <mergeCell ref="AV1109:AV1119"/>
    <mergeCell ref="AW1109:AW1119"/>
    <mergeCell ref="AX1109:AX1119"/>
    <mergeCell ref="BF1109:BF1119"/>
    <mergeCell ref="BG1109:BG1119"/>
    <mergeCell ref="BH1109:BH1119"/>
    <mergeCell ref="BI1109:BI1119"/>
    <mergeCell ref="BJ1109:BJ1119"/>
    <mergeCell ref="AY1109:AY1119"/>
    <mergeCell ref="AZ1109:AZ1119"/>
    <mergeCell ref="BA1109:BA1119"/>
    <mergeCell ref="BB1109:BB1119"/>
    <mergeCell ref="BC1109:BC1119"/>
    <mergeCell ref="BD1109:BD1119"/>
    <mergeCell ref="BE1109:BE1119"/>
    <mergeCell ref="AP1120:AP1130"/>
    <mergeCell ref="AQ1120:AQ1130"/>
    <mergeCell ref="AR1120:AR1130"/>
    <mergeCell ref="AS1120:AS1130"/>
    <mergeCell ref="AT1120:AT1130"/>
    <mergeCell ref="AU1120:AU1130"/>
    <mergeCell ref="AV1120:AV1130"/>
    <mergeCell ref="BD1120:BD1130"/>
    <mergeCell ref="BE1120:BE1130"/>
    <mergeCell ref="BF1120:BF1130"/>
    <mergeCell ref="BG1120:BG1130"/>
    <mergeCell ref="BH1120:BH1130"/>
    <mergeCell ref="BI1120:BI1130"/>
    <mergeCell ref="BJ1120:BJ1130"/>
    <mergeCell ref="AW1120:AW1130"/>
    <mergeCell ref="AX1120:AX1130"/>
    <mergeCell ref="AY1120:AY1130"/>
    <mergeCell ref="AZ1120:AZ1130"/>
    <mergeCell ref="BA1120:BA1130"/>
    <mergeCell ref="BB1120:BB1130"/>
    <mergeCell ref="BC1120:BC1130"/>
    <mergeCell ref="G1120:G1130"/>
    <mergeCell ref="G1131:G1135"/>
    <mergeCell ref="J1131:J1135"/>
    <mergeCell ref="K1131:K1135"/>
    <mergeCell ref="A1120:D1130"/>
    <mergeCell ref="H1120:H1130"/>
    <mergeCell ref="I1120:I1130"/>
    <mergeCell ref="J1120:J1130"/>
    <mergeCell ref="K1120:K1130"/>
    <mergeCell ref="L1120:L1130"/>
    <mergeCell ref="A1131:D1135"/>
    <mergeCell ref="L1131:L1135"/>
    <mergeCell ref="R1131:R1135"/>
    <mergeCell ref="S1131:S1135"/>
    <mergeCell ref="U1131:U1135"/>
    <mergeCell ref="V1131:V1135"/>
    <mergeCell ref="W1131:W1135"/>
    <mergeCell ref="X1131:X1135"/>
    <mergeCell ref="Y1131:Y1135"/>
    <mergeCell ref="Z1131:Z1135"/>
    <mergeCell ref="AA1131:AA1135"/>
    <mergeCell ref="AB1131:AB1135"/>
    <mergeCell ref="AC1131:AC1135"/>
    <mergeCell ref="AD1131:AD1135"/>
    <mergeCell ref="AE1131:AE1135"/>
    <mergeCell ref="AF1131:AF1135"/>
    <mergeCell ref="AG1131:AG1135"/>
    <mergeCell ref="AH1131:AH1135"/>
    <mergeCell ref="AI1131:AI1135"/>
    <mergeCell ref="AJ1131:AJ1135"/>
    <mergeCell ref="AK1131:AK1135"/>
    <mergeCell ref="AL1131:AL1135"/>
    <mergeCell ref="AM1131:AM1135"/>
    <mergeCell ref="AN1131:AN1135"/>
    <mergeCell ref="AO1131:AO1135"/>
    <mergeCell ref="AP1131:AP1135"/>
    <mergeCell ref="AQ1131:AQ1135"/>
    <mergeCell ref="AR1131:AR1135"/>
    <mergeCell ref="AS1131:AS1135"/>
    <mergeCell ref="AT1131:AT1135"/>
    <mergeCell ref="AU1131:AU1135"/>
    <mergeCell ref="AV1131:AV1135"/>
    <mergeCell ref="AW1131:AW1135"/>
    <mergeCell ref="AX1131:AX1135"/>
    <mergeCell ref="AY1131:AY1135"/>
    <mergeCell ref="AZ1131:AZ1135"/>
    <mergeCell ref="BA1131:BA1135"/>
    <mergeCell ref="BI1131:BI1135"/>
    <mergeCell ref="BJ1131:BJ1135"/>
    <mergeCell ref="BB1131:BB1135"/>
    <mergeCell ref="BC1131:BC1135"/>
    <mergeCell ref="BD1131:BD1135"/>
    <mergeCell ref="BE1131:BE1135"/>
    <mergeCell ref="BF1131:BF1135"/>
    <mergeCell ref="BG1131:BG1135"/>
    <mergeCell ref="BH1131:BH1135"/>
    <mergeCell ref="BC968:BC978"/>
    <mergeCell ref="BD968:BD978"/>
    <mergeCell ref="BE968:BE978"/>
    <mergeCell ref="BF968:BF978"/>
    <mergeCell ref="BG968:BG978"/>
    <mergeCell ref="BH968:BH978"/>
    <mergeCell ref="BI968:BI978"/>
    <mergeCell ref="BJ968:BJ978"/>
    <mergeCell ref="A979:A986"/>
    <mergeCell ref="B979:B986"/>
    <mergeCell ref="C979:C986"/>
    <mergeCell ref="D979:D986"/>
    <mergeCell ref="F979:F986"/>
    <mergeCell ref="G979:G986"/>
    <mergeCell ref="H979:H986"/>
    <mergeCell ref="R968:R978"/>
    <mergeCell ref="S968:S978"/>
    <mergeCell ref="U968:U978"/>
    <mergeCell ref="W968:W978"/>
    <mergeCell ref="X968:X978"/>
    <mergeCell ref="Y968:Y978"/>
    <mergeCell ref="Z968:Z978"/>
    <mergeCell ref="AA968:AA978"/>
    <mergeCell ref="AB968:AB978"/>
    <mergeCell ref="AC968:AC978"/>
    <mergeCell ref="AD968:AD978"/>
    <mergeCell ref="AE968:AE978"/>
    <mergeCell ref="AF968:AF978"/>
    <mergeCell ref="AG968:AG978"/>
    <mergeCell ref="AH968:AH978"/>
    <mergeCell ref="AI968:AI978"/>
    <mergeCell ref="AJ968:AJ978"/>
    <mergeCell ref="AK968:AK978"/>
    <mergeCell ref="AL968:AL978"/>
    <mergeCell ref="AM968:AM978"/>
    <mergeCell ref="AN968:AN978"/>
    <mergeCell ref="AO968:AO978"/>
    <mergeCell ref="AP968:AP978"/>
    <mergeCell ref="AQ968:AQ978"/>
    <mergeCell ref="AR968:AR978"/>
    <mergeCell ref="AS968:AS978"/>
    <mergeCell ref="AT968:AT978"/>
    <mergeCell ref="AU968:AU978"/>
    <mergeCell ref="BB979:BB986"/>
    <mergeCell ref="BC979:BC986"/>
    <mergeCell ref="BH979:BH986"/>
    <mergeCell ref="BI979:BI986"/>
    <mergeCell ref="BJ979:BJ986"/>
    <mergeCell ref="AV968:AV978"/>
    <mergeCell ref="AW968:AW978"/>
    <mergeCell ref="AX968:AX978"/>
    <mergeCell ref="AY968:AY978"/>
    <mergeCell ref="AZ968:AZ978"/>
    <mergeCell ref="BA968:BA978"/>
    <mergeCell ref="BB968:BB978"/>
    <mergeCell ref="P979:P986"/>
    <mergeCell ref="Q979:Q986"/>
    <mergeCell ref="I979:I986"/>
    <mergeCell ref="J979:J986"/>
    <mergeCell ref="K979:K986"/>
    <mergeCell ref="L979:L986"/>
    <mergeCell ref="M979:M986"/>
    <mergeCell ref="N979:N986"/>
    <mergeCell ref="O979:O986"/>
    <mergeCell ref="I987:I994"/>
    <mergeCell ref="J987:J994"/>
    <mergeCell ref="K987:K994"/>
    <mergeCell ref="L987:L994"/>
    <mergeCell ref="M987:M994"/>
    <mergeCell ref="N987:N994"/>
    <mergeCell ref="O987:O994"/>
    <mergeCell ref="P987:P994"/>
    <mergeCell ref="R987:R994"/>
    <mergeCell ref="T987:T994"/>
    <mergeCell ref="U987:U994"/>
    <mergeCell ref="V987:V994"/>
    <mergeCell ref="W987:W994"/>
    <mergeCell ref="X987:X994"/>
    <mergeCell ref="Y987:Y994"/>
    <mergeCell ref="Z987:Z994"/>
    <mergeCell ref="AA987:AA994"/>
    <mergeCell ref="AB987:AB994"/>
    <mergeCell ref="AC987:AC994"/>
    <mergeCell ref="AD987:AD994"/>
    <mergeCell ref="AE987:AE994"/>
    <mergeCell ref="AF987:AF994"/>
    <mergeCell ref="AG987:AG994"/>
    <mergeCell ref="AH987:AH994"/>
    <mergeCell ref="AI987:AI994"/>
    <mergeCell ref="AJ987:AJ994"/>
    <mergeCell ref="AK987:AK994"/>
    <mergeCell ref="AL987:AL994"/>
    <mergeCell ref="A987:A994"/>
    <mergeCell ref="B987:B994"/>
    <mergeCell ref="C987:C994"/>
    <mergeCell ref="D987:D994"/>
    <mergeCell ref="F987:F994"/>
    <mergeCell ref="G987:G994"/>
    <mergeCell ref="H987:H994"/>
    <mergeCell ref="J995:J1002"/>
    <mergeCell ref="K995:K1002"/>
    <mergeCell ref="L995:L1002"/>
    <mergeCell ref="M995:M1002"/>
    <mergeCell ref="N995:N1002"/>
    <mergeCell ref="O995:O1002"/>
    <mergeCell ref="P995:P1002"/>
    <mergeCell ref="A995:A1002"/>
    <mergeCell ref="B995:B1002"/>
    <mergeCell ref="C995:C1002"/>
    <mergeCell ref="D995:D1002"/>
    <mergeCell ref="G995:G1002"/>
    <mergeCell ref="H995:H1002"/>
    <mergeCell ref="I995:I1002"/>
    <mergeCell ref="AH1003:AH1007"/>
    <mergeCell ref="AI1003:AI1007"/>
    <mergeCell ref="AA1003:AA1007"/>
    <mergeCell ref="AB1003:AB1007"/>
    <mergeCell ref="AC1003:AC1007"/>
    <mergeCell ref="AD1003:AD1007"/>
    <mergeCell ref="AE1003:AE1007"/>
    <mergeCell ref="AF1003:AF1007"/>
    <mergeCell ref="AG1003:AG1007"/>
    <mergeCell ref="AQ1003:AQ1007"/>
    <mergeCell ref="AR1003:AR1007"/>
    <mergeCell ref="AJ1003:AJ1007"/>
    <mergeCell ref="AK1003:AK1007"/>
    <mergeCell ref="AL1003:AL1007"/>
    <mergeCell ref="AM1003:AM1007"/>
    <mergeCell ref="AN1003:AN1007"/>
    <mergeCell ref="AO1003:AO1007"/>
    <mergeCell ref="AP1003:AP1007"/>
    <mergeCell ref="AZ1003:AZ1007"/>
    <mergeCell ref="BA1003:BA1007"/>
    <mergeCell ref="AS1003:AS1007"/>
    <mergeCell ref="AT1003:AT1007"/>
    <mergeCell ref="AU1003:AU1007"/>
    <mergeCell ref="AV1003:AV1007"/>
    <mergeCell ref="AW1003:AW1007"/>
    <mergeCell ref="AX1003:AX1007"/>
    <mergeCell ref="AY1003:AY1007"/>
    <mergeCell ref="BI1003:BI1007"/>
    <mergeCell ref="BJ1003:BJ1007"/>
    <mergeCell ref="BB1003:BB1007"/>
    <mergeCell ref="BC1003:BC1007"/>
    <mergeCell ref="BD1003:BD1007"/>
    <mergeCell ref="BE1003:BE1007"/>
    <mergeCell ref="BF1003:BF1007"/>
    <mergeCell ref="BG1003:BG1007"/>
    <mergeCell ref="BH1003:BH1007"/>
    <mergeCell ref="R995:R1002"/>
    <mergeCell ref="S995:S1002"/>
    <mergeCell ref="V995:V1002"/>
    <mergeCell ref="W995:W1002"/>
    <mergeCell ref="X995:X1002"/>
    <mergeCell ref="Y995:Y1002"/>
    <mergeCell ref="Z995:Z1002"/>
    <mergeCell ref="AA995:AA1002"/>
    <mergeCell ref="AB995:AB1002"/>
    <mergeCell ref="AC995:AC1002"/>
    <mergeCell ref="AD995:AD1002"/>
    <mergeCell ref="AE995:AE1002"/>
    <mergeCell ref="AF995:AF1002"/>
    <mergeCell ref="AG995:AG1002"/>
    <mergeCell ref="BC995:BC1002"/>
    <mergeCell ref="BD995:BD1002"/>
    <mergeCell ref="BE995:BE1002"/>
    <mergeCell ref="BF995:BF1002"/>
    <mergeCell ref="BG995:BG1002"/>
    <mergeCell ref="BH995:BH1002"/>
    <mergeCell ref="BI995:BI1002"/>
    <mergeCell ref="BJ995:BJ1002"/>
    <mergeCell ref="R1003:R1007"/>
    <mergeCell ref="S1003:S1007"/>
    <mergeCell ref="U1003:U1007"/>
    <mergeCell ref="V1003:V1007"/>
    <mergeCell ref="W1003:W1007"/>
    <mergeCell ref="Y1003:Y1007"/>
    <mergeCell ref="Z1003:Z1007"/>
    <mergeCell ref="AH995:AH1002"/>
    <mergeCell ref="AI995:AI1002"/>
    <mergeCell ref="AJ995:AJ1002"/>
    <mergeCell ref="AK995:AK1002"/>
    <mergeCell ref="AL995:AL1002"/>
    <mergeCell ref="AM995:AM1002"/>
    <mergeCell ref="AN995:AN1002"/>
    <mergeCell ref="AO995:AO1002"/>
    <mergeCell ref="AP995:AP1002"/>
    <mergeCell ref="AQ995:AQ1002"/>
    <mergeCell ref="AR995:AR1002"/>
    <mergeCell ref="AS995:AS1002"/>
    <mergeCell ref="AT995:AT1002"/>
    <mergeCell ref="AU995:AU1002"/>
    <mergeCell ref="AV995:AV1002"/>
    <mergeCell ref="AW995:AW1002"/>
    <mergeCell ref="AX995:AX1002"/>
    <mergeCell ref="AY995:AY1002"/>
    <mergeCell ref="AZ995:AZ1002"/>
    <mergeCell ref="BA995:BA1002"/>
    <mergeCell ref="BB995:BB1002"/>
    <mergeCell ref="AN1008:AN1012"/>
    <mergeCell ref="AO1008:AO1012"/>
    <mergeCell ref="AP1008:AP1012"/>
    <mergeCell ref="AQ1008:AQ1012"/>
    <mergeCell ref="AR1008:AR1012"/>
    <mergeCell ref="AS1008:AS1012"/>
    <mergeCell ref="AT1008:AT1012"/>
    <mergeCell ref="AU1008:AU1012"/>
    <mergeCell ref="AV1008:AV1012"/>
    <mergeCell ref="AW1008:AW1012"/>
    <mergeCell ref="AX1008:AX1012"/>
    <mergeCell ref="AY1008:AY1012"/>
    <mergeCell ref="AZ1008:AZ1012"/>
    <mergeCell ref="BA1008:BA1012"/>
    <mergeCell ref="BI1008:BI1012"/>
    <mergeCell ref="BJ1008:BJ1012"/>
    <mergeCell ref="BB1008:BB1012"/>
    <mergeCell ref="BC1008:BC1012"/>
    <mergeCell ref="BD1008:BD1012"/>
    <mergeCell ref="BE1008:BE1012"/>
    <mergeCell ref="BF1008:BF1012"/>
    <mergeCell ref="BG1008:BG1012"/>
    <mergeCell ref="BH1008:BH1012"/>
    <mergeCell ref="J1003:J1007"/>
    <mergeCell ref="K1003:K1007"/>
    <mergeCell ref="L1003:L1007"/>
    <mergeCell ref="M1003:M1007"/>
    <mergeCell ref="N1003:N1007"/>
    <mergeCell ref="O1003:O1007"/>
    <mergeCell ref="P1003:P1007"/>
    <mergeCell ref="A1003:A1007"/>
    <mergeCell ref="B1003:B1007"/>
    <mergeCell ref="C1003:C1007"/>
    <mergeCell ref="D1003:D1007"/>
    <mergeCell ref="G1003:G1007"/>
    <mergeCell ref="H1003:H1007"/>
    <mergeCell ref="I1003:I1007"/>
    <mergeCell ref="J1008:J1012"/>
    <mergeCell ref="K1008:K1012"/>
    <mergeCell ref="L1008:L1012"/>
    <mergeCell ref="M1008:M1012"/>
    <mergeCell ref="N1008:N1012"/>
    <mergeCell ref="O1008:O1012"/>
    <mergeCell ref="P1008:P1012"/>
    <mergeCell ref="R1008:R1012"/>
    <mergeCell ref="S1008:S1012"/>
    <mergeCell ref="U1008:U1012"/>
    <mergeCell ref="V1008:V1012"/>
    <mergeCell ref="W1008:W1012"/>
    <mergeCell ref="X1008:X1012"/>
    <mergeCell ref="Y1008:Y1012"/>
    <mergeCell ref="Z1008:Z1012"/>
    <mergeCell ref="AA1008:AA1012"/>
    <mergeCell ref="AB1008:AB1012"/>
    <mergeCell ref="AC1008:AC1012"/>
    <mergeCell ref="AD1008:AD1012"/>
    <mergeCell ref="AE1008:AE1012"/>
    <mergeCell ref="AF1008:AF1012"/>
    <mergeCell ref="AG1008:AG1012"/>
    <mergeCell ref="AH1008:AH1012"/>
    <mergeCell ref="AI1008:AI1012"/>
    <mergeCell ref="AJ1008:AJ1012"/>
    <mergeCell ref="AK1008:AK1012"/>
    <mergeCell ref="AL1008:AL1012"/>
    <mergeCell ref="AM1008:AM1012"/>
    <mergeCell ref="A1008:A1012"/>
    <mergeCell ref="B1008:B1012"/>
    <mergeCell ref="C1008:C1012"/>
    <mergeCell ref="D1008:D1012"/>
    <mergeCell ref="G1008:G1012"/>
    <mergeCell ref="H1008:H1012"/>
    <mergeCell ref="I1008:I1012"/>
    <mergeCell ref="L1015:L1027"/>
    <mergeCell ref="M1015:M1027"/>
    <mergeCell ref="N1015:N1027"/>
    <mergeCell ref="O1015:O1027"/>
    <mergeCell ref="P1015:P1027"/>
    <mergeCell ref="Q1015:Q1027"/>
    <mergeCell ref="R1015:R1027"/>
    <mergeCell ref="S1015:S1027"/>
    <mergeCell ref="U1015:U1027"/>
    <mergeCell ref="V1015:V1027"/>
    <mergeCell ref="W1015:W1027"/>
    <mergeCell ref="X1015:X1027"/>
    <mergeCell ref="Y1015:Y1027"/>
    <mergeCell ref="Z1015:Z1027"/>
    <mergeCell ref="AA1015:AA1027"/>
    <mergeCell ref="AB1015:AB1027"/>
    <mergeCell ref="AC1015:AC1027"/>
    <mergeCell ref="AD1015:AD1027"/>
    <mergeCell ref="AE1015:AE1027"/>
    <mergeCell ref="AF1015:AF1027"/>
    <mergeCell ref="AG1015:AG1027"/>
    <mergeCell ref="AH1015:AH1027"/>
    <mergeCell ref="AI1015:AI1027"/>
    <mergeCell ref="AJ1015:AJ1027"/>
    <mergeCell ref="AK1015:AK1027"/>
    <mergeCell ref="AL1015:AL1027"/>
    <mergeCell ref="AM1015:AM1027"/>
    <mergeCell ref="AN1015:AN1027"/>
    <mergeCell ref="AO1015:AO1027"/>
    <mergeCell ref="AP1015:AP1027"/>
    <mergeCell ref="AQ1015:AQ1027"/>
    <mergeCell ref="AR1015:AR1027"/>
    <mergeCell ref="AS1015:AS1027"/>
    <mergeCell ref="AT1015:AT1027"/>
    <mergeCell ref="AU1015:AU1027"/>
    <mergeCell ref="BC1015:BC1027"/>
    <mergeCell ref="BD1015:BD1027"/>
    <mergeCell ref="BE1015:BE1027"/>
    <mergeCell ref="BF1015:BF1027"/>
    <mergeCell ref="BG1015:BG1027"/>
    <mergeCell ref="BH1015:BH1027"/>
    <mergeCell ref="BI1015:BI1027"/>
    <mergeCell ref="BJ1015:BJ1027"/>
    <mergeCell ref="AV1015:AV1027"/>
    <mergeCell ref="AW1015:AW1027"/>
    <mergeCell ref="AX1015:AX1027"/>
    <mergeCell ref="AY1015:AY1027"/>
    <mergeCell ref="AZ1015:AZ1027"/>
    <mergeCell ref="BA1015:BA1027"/>
    <mergeCell ref="BB1015:BB1027"/>
    <mergeCell ref="BC1028:BC1040"/>
    <mergeCell ref="BD1028:BD1040"/>
    <mergeCell ref="BE1028:BE1040"/>
    <mergeCell ref="BF1028:BF1040"/>
    <mergeCell ref="BG1028:BG1040"/>
    <mergeCell ref="BH1028:BH1040"/>
    <mergeCell ref="BI1028:BI1040"/>
    <mergeCell ref="BJ1028:BJ1040"/>
    <mergeCell ref="AV1028:AV1040"/>
    <mergeCell ref="AW1028:AW1040"/>
    <mergeCell ref="AX1028:AX1040"/>
    <mergeCell ref="AY1028:AY1040"/>
    <mergeCell ref="AZ1028:AZ1040"/>
    <mergeCell ref="BA1028:BA1040"/>
    <mergeCell ref="BB1028:BB1040"/>
    <mergeCell ref="G1015:G1027"/>
    <mergeCell ref="G1028:G1040"/>
    <mergeCell ref="H1028:H1040"/>
    <mergeCell ref="I1028:I1040"/>
    <mergeCell ref="A1014:D1014"/>
    <mergeCell ref="A1015:D1027"/>
    <mergeCell ref="H1015:H1027"/>
    <mergeCell ref="I1015:I1027"/>
    <mergeCell ref="J1015:J1027"/>
    <mergeCell ref="K1015:K1027"/>
    <mergeCell ref="A1028:D1040"/>
    <mergeCell ref="J1028:J1040"/>
    <mergeCell ref="K1028:K1040"/>
    <mergeCell ref="L1028:L1040"/>
    <mergeCell ref="M1028:M1040"/>
    <mergeCell ref="N1028:N1040"/>
    <mergeCell ref="O1028:O1040"/>
    <mergeCell ref="P1028:P1040"/>
    <mergeCell ref="Q1028:Q1040"/>
    <mergeCell ref="R1028:R1040"/>
    <mergeCell ref="S1028:S1040"/>
    <mergeCell ref="U1028:U1040"/>
    <mergeCell ref="V1028:V1040"/>
    <mergeCell ref="W1028:W1040"/>
    <mergeCell ref="X1028:X1040"/>
    <mergeCell ref="Y1028:Y1040"/>
    <mergeCell ref="Z1028:Z1040"/>
    <mergeCell ref="AA1028:AA1040"/>
    <mergeCell ref="AB1028:AB1040"/>
    <mergeCell ref="AC1028:AC1040"/>
    <mergeCell ref="AD1028:AD1040"/>
    <mergeCell ref="AE1028:AE1040"/>
    <mergeCell ref="AF1028:AF1040"/>
    <mergeCell ref="AG1028:AG1040"/>
    <mergeCell ref="AH1028:AH1040"/>
    <mergeCell ref="AI1028:AI1040"/>
    <mergeCell ref="AJ1028:AJ1040"/>
    <mergeCell ref="AK1028:AK1040"/>
    <mergeCell ref="AL1028:AL1040"/>
    <mergeCell ref="J968:J978"/>
    <mergeCell ref="K968:K978"/>
    <mergeCell ref="L968:L978"/>
    <mergeCell ref="M968:M978"/>
    <mergeCell ref="N968:N978"/>
    <mergeCell ref="O968:O978"/>
    <mergeCell ref="P968:P978"/>
    <mergeCell ref="A968:A978"/>
    <mergeCell ref="B968:B978"/>
    <mergeCell ref="C968:C978"/>
    <mergeCell ref="D968:D978"/>
    <mergeCell ref="G968:G978"/>
    <mergeCell ref="H968:H978"/>
    <mergeCell ref="I968:I978"/>
    <mergeCell ref="Y979:Y986"/>
    <mergeCell ref="Z979:Z986"/>
    <mergeCell ref="R979:R986"/>
    <mergeCell ref="S979:S986"/>
    <mergeCell ref="T979:T986"/>
    <mergeCell ref="U979:U986"/>
    <mergeCell ref="V979:V986"/>
    <mergeCell ref="W979:W986"/>
    <mergeCell ref="X979:X986"/>
    <mergeCell ref="AH979:AH986"/>
    <mergeCell ref="AI979:AI986"/>
    <mergeCell ref="AA979:AA986"/>
    <mergeCell ref="AB979:AB986"/>
    <mergeCell ref="AC979:AC986"/>
    <mergeCell ref="AD979:AD986"/>
    <mergeCell ref="AE979:AE986"/>
    <mergeCell ref="AF979:AF986"/>
    <mergeCell ref="AG979:AG986"/>
    <mergeCell ref="AQ979:AQ986"/>
    <mergeCell ref="AR979:AR986"/>
    <mergeCell ref="AJ979:AJ986"/>
    <mergeCell ref="AK979:AK986"/>
    <mergeCell ref="AL979:AL986"/>
    <mergeCell ref="AM979:AM986"/>
    <mergeCell ref="AN979:AN986"/>
    <mergeCell ref="AO979:AO986"/>
    <mergeCell ref="AP979:AP986"/>
    <mergeCell ref="AZ979:AZ986"/>
    <mergeCell ref="BA979:BA986"/>
    <mergeCell ref="AS979:AS986"/>
    <mergeCell ref="AT979:AT986"/>
    <mergeCell ref="AU979:AU986"/>
    <mergeCell ref="AV979:AV986"/>
    <mergeCell ref="AW979:AW986"/>
    <mergeCell ref="AX979:AX986"/>
    <mergeCell ref="AY979:AY986"/>
    <mergeCell ref="AM987:AM994"/>
    <mergeCell ref="AN987:AN994"/>
    <mergeCell ref="AO987:AO994"/>
    <mergeCell ref="AP987:AP994"/>
    <mergeCell ref="AQ987:AQ994"/>
    <mergeCell ref="AR987:AR994"/>
    <mergeCell ref="AS987:AS994"/>
    <mergeCell ref="AT987:AT994"/>
    <mergeCell ref="AU987:AU994"/>
    <mergeCell ref="AV987:AV994"/>
    <mergeCell ref="AW987:AW994"/>
    <mergeCell ref="AX987:AX994"/>
    <mergeCell ref="AY987:AY994"/>
    <mergeCell ref="AZ987:AZ994"/>
    <mergeCell ref="BH987:BH994"/>
    <mergeCell ref="BI987:BI994"/>
    <mergeCell ref="BJ987:BJ994"/>
    <mergeCell ref="BA987:BA994"/>
    <mergeCell ref="BB987:BB994"/>
    <mergeCell ref="BC987:BC994"/>
    <mergeCell ref="BD987:BD994"/>
    <mergeCell ref="BE987:BE994"/>
    <mergeCell ref="BF987:BF994"/>
    <mergeCell ref="BG987:BG994"/>
    <mergeCell ref="AP1041:AP1051"/>
    <mergeCell ref="AQ1041:AQ1051"/>
    <mergeCell ref="AR1041:AR1051"/>
    <mergeCell ref="AS1041:AS1051"/>
    <mergeCell ref="AT1041:AT1051"/>
    <mergeCell ref="AU1041:AU1051"/>
    <mergeCell ref="AV1041:AV1051"/>
    <mergeCell ref="BD1041:BD1051"/>
    <mergeCell ref="BE1041:BE1051"/>
    <mergeCell ref="BF1041:BF1051"/>
    <mergeCell ref="BG1041:BG1051"/>
    <mergeCell ref="BH1041:BH1051"/>
    <mergeCell ref="BI1041:BI1051"/>
    <mergeCell ref="BJ1041:BJ1051"/>
    <mergeCell ref="AW1041:AW1051"/>
    <mergeCell ref="AX1041:AX1051"/>
    <mergeCell ref="AY1041:AY1051"/>
    <mergeCell ref="AZ1041:AZ1051"/>
    <mergeCell ref="BA1041:BA1051"/>
    <mergeCell ref="BB1041:BB1051"/>
    <mergeCell ref="BC1041:BC1051"/>
    <mergeCell ref="M1041:M1051"/>
    <mergeCell ref="N1041:N1051"/>
    <mergeCell ref="O1041:O1051"/>
    <mergeCell ref="P1041:P1051"/>
    <mergeCell ref="Q1041:Q1051"/>
    <mergeCell ref="R1041:R1051"/>
    <mergeCell ref="S1041:S1051"/>
    <mergeCell ref="M1052:M1064"/>
    <mergeCell ref="N1052:N1064"/>
    <mergeCell ref="O1052:O1064"/>
    <mergeCell ref="P1052:P1064"/>
    <mergeCell ref="Q1052:Q1064"/>
    <mergeCell ref="R1052:R1064"/>
    <mergeCell ref="S1052:S1064"/>
    <mergeCell ref="AI1052:AI1064"/>
    <mergeCell ref="AJ1052:AJ1064"/>
    <mergeCell ref="AB1052:AB1064"/>
    <mergeCell ref="AC1052:AC1064"/>
    <mergeCell ref="AD1052:AD1064"/>
    <mergeCell ref="AE1052:AE1064"/>
    <mergeCell ref="AF1052:AF1064"/>
    <mergeCell ref="AG1052:AG1064"/>
    <mergeCell ref="AH1052:AH1064"/>
    <mergeCell ref="AR1052:AR1064"/>
    <mergeCell ref="AS1052:AS1064"/>
    <mergeCell ref="AK1052:AK1064"/>
    <mergeCell ref="AL1052:AL1064"/>
    <mergeCell ref="AM1052:AM1064"/>
    <mergeCell ref="AN1052:AN1064"/>
    <mergeCell ref="AO1052:AO1064"/>
    <mergeCell ref="AP1052:AP1064"/>
    <mergeCell ref="AQ1052:AQ1064"/>
    <mergeCell ref="BF1052:BF1064"/>
    <mergeCell ref="BG1052:BG1064"/>
    <mergeCell ref="BH1052:BH1064"/>
    <mergeCell ref="BI1052:BI1064"/>
    <mergeCell ref="BJ1052:BJ1064"/>
    <mergeCell ref="AY1052:AY1064"/>
    <mergeCell ref="AZ1052:AZ1064"/>
    <mergeCell ref="BA1052:BA1064"/>
    <mergeCell ref="BB1052:BB1064"/>
    <mergeCell ref="BC1052:BC1064"/>
    <mergeCell ref="BD1052:BD1064"/>
    <mergeCell ref="BE1052:BE1064"/>
    <mergeCell ref="AL1065:AL1072"/>
    <mergeCell ref="AM1065:AM1072"/>
    <mergeCell ref="AN1065:AN1072"/>
    <mergeCell ref="AO1065:AO1072"/>
    <mergeCell ref="AP1065:AP1072"/>
    <mergeCell ref="AQ1065:AQ1072"/>
    <mergeCell ref="AR1065:AR1072"/>
    <mergeCell ref="AS1065:AS1072"/>
    <mergeCell ref="AT1065:AT1072"/>
    <mergeCell ref="AU1065:AU1072"/>
    <mergeCell ref="AV1065:AV1072"/>
    <mergeCell ref="AW1065:AW1072"/>
    <mergeCell ref="AX1065:AX1072"/>
    <mergeCell ref="AY1065:AY1072"/>
    <mergeCell ref="BG1065:BG1072"/>
    <mergeCell ref="BH1065:BH1072"/>
    <mergeCell ref="BI1065:BI1072"/>
    <mergeCell ref="BJ1065:BJ1072"/>
    <mergeCell ref="AZ1065:AZ1072"/>
    <mergeCell ref="BA1065:BA1072"/>
    <mergeCell ref="BB1065:BB1072"/>
    <mergeCell ref="BC1065:BC1072"/>
    <mergeCell ref="BD1065:BD1072"/>
    <mergeCell ref="BE1065:BE1072"/>
    <mergeCell ref="BF1065:BF1072"/>
    <mergeCell ref="P1073:P1077"/>
    <mergeCell ref="Q1073:Q1077"/>
    <mergeCell ref="I1073:I1077"/>
    <mergeCell ref="J1073:J1077"/>
    <mergeCell ref="K1073:K1077"/>
    <mergeCell ref="L1073:L1077"/>
    <mergeCell ref="M1073:M1077"/>
    <mergeCell ref="N1073:N1077"/>
    <mergeCell ref="O1073:O1077"/>
    <mergeCell ref="R1073:R1077"/>
    <mergeCell ref="S1073:S1077"/>
    <mergeCell ref="T1073:T1077"/>
    <mergeCell ref="U1073:U1077"/>
    <mergeCell ref="V1073:V1077"/>
    <mergeCell ref="W1073:W1077"/>
    <mergeCell ref="X1073:X1077"/>
    <mergeCell ref="BD1073:BD1077"/>
    <mergeCell ref="BE1073:BE1077"/>
    <mergeCell ref="BF1073:BF1077"/>
    <mergeCell ref="BG1073:BG1077"/>
    <mergeCell ref="BH1073:BH1077"/>
    <mergeCell ref="BI1073:BI1077"/>
    <mergeCell ref="BJ1073:BJ1077"/>
    <mergeCell ref="Y1073:Y1077"/>
    <mergeCell ref="Z1073:Z1077"/>
    <mergeCell ref="AY1073:AY1077"/>
    <mergeCell ref="AZ1073:AZ1077"/>
    <mergeCell ref="BA1073:BA1077"/>
    <mergeCell ref="BB1073:BB1077"/>
    <mergeCell ref="BC1073:BC1077"/>
    <mergeCell ref="H1052:H1064"/>
    <mergeCell ref="I1052:I1064"/>
    <mergeCell ref="G1065:G1072"/>
    <mergeCell ref="H1065:H1072"/>
    <mergeCell ref="I1065:I1072"/>
    <mergeCell ref="G1073:G1077"/>
    <mergeCell ref="H1073:H1077"/>
    <mergeCell ref="J1096:J1108"/>
    <mergeCell ref="K1096:K1108"/>
    <mergeCell ref="L1096:L1108"/>
    <mergeCell ref="M1096:M1108"/>
    <mergeCell ref="N1096:N1108"/>
    <mergeCell ref="O1096:O1108"/>
    <mergeCell ref="P1096:P1108"/>
    <mergeCell ref="Q1096:Q1108"/>
    <mergeCell ref="R1096:R1108"/>
    <mergeCell ref="S1096:S1108"/>
    <mergeCell ref="U1096:U1108"/>
    <mergeCell ref="V1096:V1108"/>
    <mergeCell ref="W1096:W1108"/>
    <mergeCell ref="X1096:X1108"/>
    <mergeCell ref="H1109:H1119"/>
    <mergeCell ref="I1109:I1119"/>
    <mergeCell ref="J1109:J1119"/>
    <mergeCell ref="K1109:K1119"/>
    <mergeCell ref="L1109:L1119"/>
    <mergeCell ref="M1109:M1119"/>
    <mergeCell ref="N1109:N1119"/>
    <mergeCell ref="Y1096:Y1108"/>
    <mergeCell ref="Z1096:Z1108"/>
    <mergeCell ref="AA1096:AA1108"/>
    <mergeCell ref="AB1096:AB1108"/>
    <mergeCell ref="AC1096:AC1108"/>
    <mergeCell ref="AD1096:AD1108"/>
    <mergeCell ref="AE1096:AE1108"/>
    <mergeCell ref="AF1096:AF1108"/>
    <mergeCell ref="AG1096:AG1108"/>
    <mergeCell ref="AH1096:AH1108"/>
    <mergeCell ref="AI1096:AI1108"/>
    <mergeCell ref="AJ1096:AJ1108"/>
    <mergeCell ref="AK1096:AK1108"/>
    <mergeCell ref="AL1096:AL1108"/>
    <mergeCell ref="AQ1109:AQ1119"/>
    <mergeCell ref="AR1109:AR1119"/>
    <mergeCell ref="AS1109:AS1119"/>
    <mergeCell ref="AM1096:AM1108"/>
    <mergeCell ref="AN1096:AN1108"/>
    <mergeCell ref="AO1096:AO1108"/>
    <mergeCell ref="AP1096:AP1108"/>
    <mergeCell ref="AQ1096:AQ1108"/>
    <mergeCell ref="AR1096:AR1108"/>
    <mergeCell ref="AS1096:AS1108"/>
    <mergeCell ref="G1096:G1108"/>
    <mergeCell ref="G1109:G1119"/>
    <mergeCell ref="G1078:G1082"/>
    <mergeCell ref="H1078:H1082"/>
    <mergeCell ref="I1078:I1082"/>
    <mergeCell ref="A1096:D1108"/>
    <mergeCell ref="H1096:H1108"/>
    <mergeCell ref="I1096:I1108"/>
    <mergeCell ref="A1109:D1119"/>
    <mergeCell ref="M1120:M1130"/>
    <mergeCell ref="N1120:N1130"/>
    <mergeCell ref="O1120:O1130"/>
    <mergeCell ref="P1120:P1130"/>
    <mergeCell ref="Q1120:Q1130"/>
    <mergeCell ref="R1120:R1130"/>
    <mergeCell ref="S1120:S1130"/>
    <mergeCell ref="U1120:U1130"/>
    <mergeCell ref="V1120:V1130"/>
    <mergeCell ref="W1120:W1130"/>
    <mergeCell ref="X1120:X1130"/>
    <mergeCell ref="Y1120:Y1130"/>
    <mergeCell ref="Z1120:Z1130"/>
    <mergeCell ref="AA1120:AA1130"/>
    <mergeCell ref="AB1120:AB1130"/>
    <mergeCell ref="AC1120:AC1130"/>
    <mergeCell ref="AD1120:AD1130"/>
    <mergeCell ref="AE1120:AE1130"/>
    <mergeCell ref="AF1120:AF1130"/>
    <mergeCell ref="AG1120:AG1130"/>
    <mergeCell ref="AH1120:AH1130"/>
    <mergeCell ref="AI1120:AI1130"/>
    <mergeCell ref="AJ1120:AJ1130"/>
    <mergeCell ref="AK1120:AK1130"/>
    <mergeCell ref="AL1120:AL1130"/>
    <mergeCell ref="AM1120:AM1130"/>
    <mergeCell ref="AN1120:AN1130"/>
    <mergeCell ref="AO1120:AO1130"/>
    <mergeCell ref="H1131:H1135"/>
    <mergeCell ref="I1131:I1135"/>
    <mergeCell ref="M1131:M1135"/>
    <mergeCell ref="N1131:N1135"/>
    <mergeCell ref="O1131:O1135"/>
    <mergeCell ref="P1131:P1135"/>
    <mergeCell ref="Q1131:Q113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7.29"/>
  </cols>
  <sheetData>
    <row r="1">
      <c r="A1" s="56" t="s">
        <v>412</v>
      </c>
      <c r="C1" s="57"/>
      <c r="D1" s="57"/>
      <c r="E1" s="57"/>
      <c r="F1" s="57"/>
      <c r="G1" s="57"/>
      <c r="H1" s="57"/>
      <c r="I1" s="57"/>
      <c r="J1" s="57"/>
      <c r="K1" s="58"/>
      <c r="L1" s="57"/>
      <c r="M1" s="57"/>
      <c r="N1" s="57"/>
      <c r="O1" s="57"/>
      <c r="P1" s="57"/>
      <c r="Q1" s="57"/>
    </row>
    <row r="2">
      <c r="A2" s="43" t="s">
        <v>413</v>
      </c>
      <c r="B2" s="43" t="s">
        <v>414</v>
      </c>
      <c r="C2" s="59" t="s">
        <v>415</v>
      </c>
      <c r="D2" s="14"/>
      <c r="E2" s="14"/>
      <c r="F2" s="14"/>
      <c r="G2" s="14"/>
      <c r="H2" s="14"/>
      <c r="I2" s="14"/>
      <c r="J2" s="14"/>
      <c r="K2" s="14"/>
      <c r="L2" s="14"/>
      <c r="M2" s="14"/>
      <c r="N2" s="14"/>
      <c r="O2" s="14"/>
      <c r="P2" s="15"/>
      <c r="Q2" s="57"/>
    </row>
    <row r="3">
      <c r="A3" s="22"/>
      <c r="B3" s="22"/>
      <c r="C3" s="60">
        <v>1.0</v>
      </c>
      <c r="D3" s="60">
        <v>2.0</v>
      </c>
      <c r="E3" s="60">
        <v>3.0</v>
      </c>
      <c r="F3" s="60">
        <v>4.0</v>
      </c>
      <c r="G3" s="60">
        <v>5.0</v>
      </c>
      <c r="H3" s="60">
        <v>6.0</v>
      </c>
      <c r="I3" s="60">
        <v>7.0</v>
      </c>
      <c r="J3" s="60">
        <v>8.0</v>
      </c>
      <c r="K3" s="61">
        <v>9.0</v>
      </c>
      <c r="L3" s="60">
        <v>10.0</v>
      </c>
      <c r="M3" s="60">
        <v>11.0</v>
      </c>
      <c r="N3" s="60">
        <v>12.0</v>
      </c>
      <c r="O3" s="60">
        <v>13.0</v>
      </c>
      <c r="P3" s="60">
        <v>14.0</v>
      </c>
      <c r="Q3" s="57"/>
    </row>
    <row r="4">
      <c r="A4" s="62" t="s">
        <v>82</v>
      </c>
      <c r="B4" s="60" t="s">
        <v>416</v>
      </c>
      <c r="C4" s="57"/>
      <c r="D4" s="57"/>
      <c r="E4" s="57"/>
      <c r="F4" s="57"/>
      <c r="G4" s="57"/>
      <c r="H4" s="57"/>
      <c r="I4" s="57"/>
      <c r="J4" s="57"/>
      <c r="K4" s="63"/>
      <c r="L4" s="57"/>
      <c r="M4" s="57"/>
      <c r="N4" s="57"/>
      <c r="O4" s="57"/>
      <c r="P4" s="57"/>
      <c r="Q4" s="57"/>
    </row>
    <row r="5">
      <c r="A5" s="64" t="s">
        <v>417</v>
      </c>
      <c r="B5" s="26"/>
      <c r="C5" s="65">
        <f>48</f>
        <v>48</v>
      </c>
      <c r="D5" s="57">
        <f>ROUNDDOWN(C5*1.1,0)</f>
        <v>52</v>
      </c>
      <c r="E5" s="57">
        <f>ROUNDDOWN(C5*1.21,0)</f>
        <v>58</v>
      </c>
      <c r="F5" s="57">
        <f>ROUNDDOWN(C5*1.33,0)</f>
        <v>63</v>
      </c>
      <c r="G5" s="57">
        <f>ROUNDDOWN(C5*1.46,0)</f>
        <v>70</v>
      </c>
      <c r="H5" s="57">
        <f>ROUNDDOWN(C5*1.6,0)</f>
        <v>76</v>
      </c>
      <c r="I5" s="57">
        <f>ROUNDDOWN(C5*1.76,0)</f>
        <v>84</v>
      </c>
      <c r="J5" s="57">
        <f>ROUNDDOWN(C5*1.93,0)</f>
        <v>92</v>
      </c>
      <c r="K5" s="63">
        <f>ROUNDDOWN(C5*2.12,0)</f>
        <v>101</v>
      </c>
      <c r="L5" s="57">
        <f>ROUNDDOWN(C5*2.33,0)</f>
        <v>111</v>
      </c>
      <c r="M5" s="57">
        <f>ROUNDDOWN(C5*2.56,0)</f>
        <v>122</v>
      </c>
      <c r="N5" s="57">
        <f>ROUNDDOWN(C5*2.81,0)</f>
        <v>134</v>
      </c>
      <c r="O5" s="57">
        <f>ROUNDDOWN(C5*3.09,0)</f>
        <v>148</v>
      </c>
      <c r="P5" s="57">
        <f>ROUNDDOWN(C5*3.39,0)</f>
        <v>162</v>
      </c>
      <c r="Q5" s="57"/>
    </row>
    <row r="6">
      <c r="A6" s="64" t="s">
        <v>418</v>
      </c>
      <c r="B6" s="26"/>
      <c r="C6" s="65">
        <f t="shared" ref="C6:P6" si="1">ROUNDUP(C5*0.3,0)</f>
        <v>15</v>
      </c>
      <c r="D6" s="65">
        <f t="shared" si="1"/>
        <v>16</v>
      </c>
      <c r="E6" s="65">
        <f t="shared" si="1"/>
        <v>18</v>
      </c>
      <c r="F6" s="65">
        <f t="shared" si="1"/>
        <v>19</v>
      </c>
      <c r="G6" s="65">
        <f t="shared" si="1"/>
        <v>21</v>
      </c>
      <c r="H6" s="65">
        <f t="shared" si="1"/>
        <v>23</v>
      </c>
      <c r="I6" s="65">
        <f t="shared" si="1"/>
        <v>26</v>
      </c>
      <c r="J6" s="65">
        <f t="shared" si="1"/>
        <v>28</v>
      </c>
      <c r="K6" s="66">
        <f t="shared" si="1"/>
        <v>31</v>
      </c>
      <c r="L6" s="65">
        <f t="shared" si="1"/>
        <v>34</v>
      </c>
      <c r="M6" s="65">
        <f t="shared" si="1"/>
        <v>37</v>
      </c>
      <c r="N6" s="65">
        <f t="shared" si="1"/>
        <v>41</v>
      </c>
      <c r="O6" s="65">
        <f t="shared" si="1"/>
        <v>45</v>
      </c>
      <c r="P6" s="65">
        <f t="shared" si="1"/>
        <v>49</v>
      </c>
      <c r="Q6" s="57"/>
    </row>
    <row r="7">
      <c r="A7" s="64" t="s">
        <v>419</v>
      </c>
      <c r="B7" s="60">
        <v>3.0</v>
      </c>
      <c r="C7" s="57"/>
      <c r="D7" s="57"/>
      <c r="E7" s="57"/>
      <c r="F7" s="57"/>
      <c r="G7" s="57"/>
      <c r="H7" s="57"/>
      <c r="I7" s="57"/>
      <c r="J7" s="57"/>
      <c r="K7" s="63"/>
      <c r="L7" s="57"/>
      <c r="M7" s="57"/>
      <c r="N7" s="57"/>
      <c r="O7" s="57"/>
      <c r="P7" s="57"/>
      <c r="Q7" s="57"/>
    </row>
    <row r="8">
      <c r="A8" s="64" t="s">
        <v>420</v>
      </c>
      <c r="B8" s="60" t="s">
        <v>421</v>
      </c>
      <c r="C8" s="57"/>
      <c r="D8" s="57"/>
      <c r="E8" s="57"/>
      <c r="F8" s="57"/>
      <c r="G8" s="57"/>
      <c r="H8" s="57"/>
      <c r="I8" s="57"/>
      <c r="J8" s="57"/>
      <c r="K8" s="63"/>
      <c r="L8" s="57"/>
      <c r="M8" s="57"/>
      <c r="N8" s="57"/>
      <c r="O8" s="57"/>
      <c r="P8" s="57"/>
      <c r="Q8" s="57"/>
    </row>
    <row r="9">
      <c r="A9" s="64" t="s">
        <v>422</v>
      </c>
      <c r="B9" s="60" t="s">
        <v>423</v>
      </c>
      <c r="C9" s="57"/>
      <c r="D9" s="57"/>
      <c r="E9" s="57"/>
      <c r="F9" s="57"/>
      <c r="G9" s="57"/>
      <c r="H9" s="57"/>
      <c r="I9" s="57"/>
      <c r="J9" s="57"/>
      <c r="K9" s="63"/>
      <c r="L9" s="57"/>
      <c r="M9" s="57"/>
      <c r="N9" s="57"/>
      <c r="O9" s="57"/>
      <c r="P9" s="57"/>
      <c r="Q9" s="57"/>
    </row>
    <row r="10">
      <c r="A10" s="64" t="s">
        <v>80</v>
      </c>
      <c r="B10" s="60" t="s">
        <v>424</v>
      </c>
      <c r="C10" s="57"/>
      <c r="D10" s="57"/>
      <c r="E10" s="57"/>
      <c r="F10" s="57"/>
      <c r="G10" s="57"/>
      <c r="H10" s="57"/>
      <c r="I10" s="57"/>
      <c r="J10" s="57"/>
      <c r="K10" s="63"/>
      <c r="L10" s="57"/>
      <c r="M10" s="57"/>
      <c r="N10" s="57"/>
      <c r="O10" s="57"/>
      <c r="P10" s="57"/>
      <c r="Q10" s="57"/>
    </row>
    <row r="11">
      <c r="A11" s="64" t="s">
        <v>50</v>
      </c>
      <c r="B11" s="60" t="s">
        <v>425</v>
      </c>
      <c r="C11" s="57"/>
      <c r="D11" s="57"/>
      <c r="E11" s="57"/>
      <c r="F11" s="57"/>
      <c r="G11" s="57"/>
      <c r="H11" s="57"/>
      <c r="I11" s="57"/>
      <c r="J11" s="57"/>
      <c r="K11" s="63"/>
      <c r="L11" s="57"/>
      <c r="M11" s="57"/>
      <c r="N11" s="57"/>
      <c r="O11" s="57"/>
      <c r="P11" s="57"/>
      <c r="Q11" s="57"/>
    </row>
    <row r="12">
      <c r="A12" s="64" t="s">
        <v>426</v>
      </c>
      <c r="B12" s="60" t="s">
        <v>427</v>
      </c>
      <c r="C12" s="57"/>
      <c r="D12" s="57"/>
      <c r="E12" s="57"/>
      <c r="F12" s="57"/>
      <c r="G12" s="57"/>
      <c r="H12" s="57"/>
      <c r="I12" s="57"/>
      <c r="J12" s="57"/>
      <c r="K12" s="63"/>
      <c r="L12" s="57"/>
      <c r="M12" s="57"/>
      <c r="N12" s="57"/>
      <c r="O12" s="57"/>
      <c r="P12" s="57"/>
      <c r="Q12" s="57"/>
    </row>
    <row r="13">
      <c r="A13" s="67" t="s">
        <v>86</v>
      </c>
      <c r="B13" s="60" t="s">
        <v>416</v>
      </c>
      <c r="C13" s="57"/>
      <c r="D13" s="57"/>
      <c r="E13" s="57"/>
      <c r="F13" s="57"/>
      <c r="G13" s="57"/>
      <c r="H13" s="57"/>
      <c r="I13" s="57"/>
      <c r="J13" s="57"/>
      <c r="K13" s="63"/>
      <c r="L13" s="57"/>
      <c r="M13" s="57"/>
      <c r="N13" s="57"/>
      <c r="O13" s="57"/>
      <c r="P13" s="57"/>
      <c r="Q13" s="57"/>
    </row>
    <row r="14">
      <c r="A14" s="60" t="s">
        <v>38</v>
      </c>
      <c r="B14" s="26"/>
      <c r="C14" s="65">
        <v>90.0</v>
      </c>
      <c r="D14" s="57">
        <f t="shared" ref="D14:D15" si="2">ROUNDDOWN(C14*1.1,0)</f>
        <v>99</v>
      </c>
      <c r="E14" s="57">
        <f t="shared" ref="E14:E15" si="3">ROUNDDOWN(C14*1.21,0)</f>
        <v>108</v>
      </c>
      <c r="F14" s="57">
        <f t="shared" ref="F14:F15" si="4">ROUNDDOWN(C14*1.33,0)</f>
        <v>119</v>
      </c>
      <c r="G14" s="57">
        <f t="shared" ref="G14:G15" si="5">ROUNDDOWN(C14*1.46,0)</f>
        <v>131</v>
      </c>
      <c r="H14" s="57">
        <f t="shared" ref="H14:H15" si="6">ROUNDDOWN(C14*1.6,0)</f>
        <v>144</v>
      </c>
      <c r="I14" s="57">
        <f t="shared" ref="I14:I15" si="7">ROUNDDOWN(C14*1.76,0)</f>
        <v>158</v>
      </c>
      <c r="J14" s="57">
        <f t="shared" ref="J14:J15" si="8">ROUNDDOWN(C14*1.93,0)</f>
        <v>173</v>
      </c>
      <c r="K14" s="63">
        <f t="shared" ref="K14:K15" si="9">ROUNDDOWN(C14*2.12,0)</f>
        <v>190</v>
      </c>
      <c r="L14" s="57">
        <f t="shared" ref="L14:L15" si="10">ROUNDDOWN(C14*2.33,0)</f>
        <v>209</v>
      </c>
      <c r="M14" s="57">
        <f t="shared" ref="M14:M15" si="11">ROUNDDOWN(C14*2.56,0)</f>
        <v>230</v>
      </c>
      <c r="N14" s="57">
        <f t="shared" ref="N14:N15" si="12">ROUNDDOWN(C14*2.81,0)</f>
        <v>252</v>
      </c>
      <c r="O14" s="57">
        <f t="shared" ref="O14:O15" si="13">ROUNDDOWN(C14*3.09,0)</f>
        <v>278</v>
      </c>
      <c r="P14" s="57">
        <f t="shared" ref="P14:P15" si="14">ROUNDDOWN(C14*3.39,0)</f>
        <v>305</v>
      </c>
      <c r="Q14" s="57"/>
    </row>
    <row r="15">
      <c r="A15" s="60" t="s">
        <v>24</v>
      </c>
      <c r="B15" s="26"/>
      <c r="C15" s="65">
        <v>40.0</v>
      </c>
      <c r="D15" s="57">
        <f t="shared" si="2"/>
        <v>44</v>
      </c>
      <c r="E15" s="57">
        <f t="shared" si="3"/>
        <v>48</v>
      </c>
      <c r="F15" s="57">
        <f t="shared" si="4"/>
        <v>53</v>
      </c>
      <c r="G15" s="57">
        <f t="shared" si="5"/>
        <v>58</v>
      </c>
      <c r="H15" s="57">
        <f t="shared" si="6"/>
        <v>64</v>
      </c>
      <c r="I15" s="57">
        <f t="shared" si="7"/>
        <v>70</v>
      </c>
      <c r="J15" s="57">
        <f t="shared" si="8"/>
        <v>77</v>
      </c>
      <c r="K15" s="63">
        <f t="shared" si="9"/>
        <v>84</v>
      </c>
      <c r="L15" s="57">
        <f t="shared" si="10"/>
        <v>93</v>
      </c>
      <c r="M15" s="57">
        <f t="shared" si="11"/>
        <v>102</v>
      </c>
      <c r="N15" s="57">
        <f t="shared" si="12"/>
        <v>112</v>
      </c>
      <c r="O15" s="57">
        <f t="shared" si="13"/>
        <v>123</v>
      </c>
      <c r="P15" s="57">
        <f t="shared" si="14"/>
        <v>135</v>
      </c>
      <c r="Q15" s="57"/>
    </row>
    <row r="16">
      <c r="A16" s="60" t="s">
        <v>428</v>
      </c>
      <c r="B16" s="60" t="s">
        <v>429</v>
      </c>
      <c r="C16" s="57"/>
      <c r="D16" s="57"/>
      <c r="E16" s="57"/>
      <c r="F16" s="57"/>
      <c r="G16" s="57"/>
      <c r="H16" s="57"/>
      <c r="I16" s="57"/>
      <c r="J16" s="57"/>
      <c r="K16" s="63"/>
      <c r="L16" s="57"/>
      <c r="M16" s="57"/>
      <c r="N16" s="57"/>
      <c r="O16" s="57"/>
      <c r="P16" s="57"/>
      <c r="Q16" s="57"/>
    </row>
    <row r="17">
      <c r="A17" s="60" t="s">
        <v>55</v>
      </c>
      <c r="B17" s="60" t="s">
        <v>430</v>
      </c>
      <c r="C17" s="57"/>
      <c r="D17" s="57"/>
      <c r="E17" s="57"/>
      <c r="F17" s="57"/>
      <c r="G17" s="57"/>
      <c r="H17" s="57"/>
      <c r="I17" s="57"/>
      <c r="J17" s="57"/>
      <c r="K17" s="63"/>
      <c r="L17" s="57"/>
      <c r="M17" s="57"/>
      <c r="N17" s="57"/>
      <c r="O17" s="57"/>
      <c r="P17" s="57"/>
      <c r="Q17" s="57"/>
    </row>
    <row r="18">
      <c r="A18" s="60" t="s">
        <v>51</v>
      </c>
      <c r="B18" s="60" t="s">
        <v>431</v>
      </c>
      <c r="C18" s="57"/>
      <c r="D18" s="57"/>
      <c r="E18" s="57"/>
      <c r="F18" s="57"/>
      <c r="G18" s="57"/>
      <c r="H18" s="57"/>
      <c r="I18" s="57"/>
      <c r="J18" s="57"/>
      <c r="K18" s="63"/>
      <c r="L18" s="57"/>
      <c r="M18" s="57"/>
      <c r="N18" s="57"/>
      <c r="O18" s="57"/>
      <c r="P18" s="57"/>
      <c r="Q18" s="57"/>
    </row>
    <row r="19">
      <c r="A19" s="60" t="s">
        <v>49</v>
      </c>
      <c r="B19" s="60" t="s">
        <v>430</v>
      </c>
      <c r="C19" s="57"/>
      <c r="D19" s="57"/>
      <c r="E19" s="57"/>
      <c r="F19" s="57"/>
      <c r="G19" s="57"/>
      <c r="H19" s="57"/>
      <c r="I19" s="57"/>
      <c r="J19" s="57"/>
      <c r="K19" s="63"/>
      <c r="L19" s="57"/>
      <c r="M19" s="57"/>
      <c r="N19" s="57"/>
      <c r="O19" s="57"/>
      <c r="P19" s="57"/>
      <c r="Q19" s="57"/>
    </row>
    <row r="20">
      <c r="A20" s="60" t="s">
        <v>432</v>
      </c>
      <c r="B20" s="60" t="s">
        <v>433</v>
      </c>
      <c r="C20" s="57"/>
      <c r="D20" s="57"/>
      <c r="E20" s="57"/>
      <c r="F20" s="57"/>
      <c r="G20" s="57"/>
      <c r="H20" s="57"/>
      <c r="I20" s="57"/>
      <c r="J20" s="57"/>
      <c r="K20" s="63"/>
      <c r="L20" s="57"/>
      <c r="M20" s="57"/>
      <c r="N20" s="57"/>
      <c r="O20" s="57"/>
      <c r="P20" s="57"/>
      <c r="Q20" s="57"/>
    </row>
    <row r="21">
      <c r="A21" s="60" t="s">
        <v>422</v>
      </c>
      <c r="B21" s="60" t="s">
        <v>434</v>
      </c>
      <c r="C21" s="57"/>
      <c r="D21" s="57"/>
      <c r="E21" s="57"/>
      <c r="F21" s="57"/>
      <c r="G21" s="57"/>
      <c r="H21" s="57"/>
      <c r="I21" s="57"/>
      <c r="J21" s="57"/>
      <c r="K21" s="63"/>
      <c r="L21" s="57"/>
      <c r="M21" s="57"/>
      <c r="N21" s="57"/>
      <c r="O21" s="57"/>
      <c r="P21" s="57"/>
      <c r="Q21" s="57"/>
    </row>
    <row r="22">
      <c r="A22" s="60" t="s">
        <v>435</v>
      </c>
      <c r="B22" s="60" t="s">
        <v>436</v>
      </c>
      <c r="C22" s="57"/>
      <c r="D22" s="57"/>
      <c r="E22" s="57"/>
      <c r="F22" s="57"/>
      <c r="G22" s="57"/>
      <c r="H22" s="57"/>
      <c r="I22" s="57"/>
      <c r="J22" s="57"/>
      <c r="K22" s="63"/>
      <c r="L22" s="57"/>
      <c r="M22" s="57"/>
      <c r="N22" s="57"/>
      <c r="O22" s="57"/>
      <c r="P22" s="57"/>
      <c r="Q22" s="57"/>
    </row>
    <row r="23">
      <c r="A23" s="60" t="s">
        <v>53</v>
      </c>
      <c r="B23" s="60" t="s">
        <v>437</v>
      </c>
      <c r="C23" s="57"/>
      <c r="D23" s="57"/>
      <c r="E23" s="57"/>
      <c r="F23" s="57"/>
      <c r="G23" s="57"/>
      <c r="H23" s="57"/>
      <c r="I23" s="57"/>
      <c r="J23" s="57"/>
      <c r="K23" s="63"/>
      <c r="L23" s="57"/>
      <c r="M23" s="57"/>
      <c r="N23" s="57"/>
      <c r="O23" s="57"/>
      <c r="P23" s="57"/>
      <c r="Q23" s="57"/>
    </row>
    <row r="24">
      <c r="A24" s="60" t="s">
        <v>50</v>
      </c>
      <c r="B24" s="60" t="s">
        <v>425</v>
      </c>
      <c r="C24" s="57"/>
      <c r="D24" s="57"/>
      <c r="E24" s="57"/>
      <c r="F24" s="57"/>
      <c r="G24" s="57"/>
      <c r="H24" s="57"/>
      <c r="I24" s="57"/>
      <c r="J24" s="57"/>
      <c r="K24" s="63"/>
      <c r="L24" s="57"/>
      <c r="M24" s="57"/>
      <c r="N24" s="57"/>
      <c r="O24" s="57"/>
      <c r="P24" s="57"/>
      <c r="Q24" s="57"/>
    </row>
    <row r="25">
      <c r="A25" s="60" t="s">
        <v>438</v>
      </c>
      <c r="B25" s="60" t="s">
        <v>436</v>
      </c>
      <c r="C25" s="57"/>
      <c r="D25" s="57"/>
      <c r="E25" s="57"/>
      <c r="F25" s="57"/>
      <c r="G25" s="57"/>
      <c r="H25" s="57"/>
      <c r="I25" s="57"/>
      <c r="J25" s="57"/>
      <c r="K25" s="63"/>
      <c r="L25" s="57"/>
      <c r="M25" s="57"/>
      <c r="N25" s="57"/>
      <c r="O25" s="57"/>
      <c r="P25" s="57"/>
      <c r="Q25" s="57"/>
    </row>
    <row r="26">
      <c r="A26" s="60" t="s">
        <v>439</v>
      </c>
      <c r="B26" s="60" t="s">
        <v>440</v>
      </c>
      <c r="C26" s="57"/>
      <c r="D26" s="57"/>
      <c r="E26" s="57"/>
      <c r="F26" s="57"/>
      <c r="G26" s="57"/>
      <c r="H26" s="57"/>
      <c r="I26" s="57"/>
      <c r="J26" s="57"/>
      <c r="K26" s="63"/>
      <c r="L26" s="57"/>
      <c r="M26" s="57"/>
      <c r="N26" s="57"/>
      <c r="O26" s="57"/>
      <c r="P26" s="57"/>
      <c r="Q26" s="57"/>
    </row>
    <row r="27">
      <c r="A27" s="60" t="s">
        <v>441</v>
      </c>
      <c r="B27" s="60">
        <v>2.0</v>
      </c>
      <c r="C27" s="57"/>
      <c r="D27" s="57"/>
      <c r="E27" s="57"/>
      <c r="F27" s="57"/>
      <c r="G27" s="57"/>
      <c r="H27" s="57"/>
      <c r="I27" s="57"/>
      <c r="J27" s="57"/>
      <c r="K27" s="63"/>
      <c r="L27" s="57"/>
      <c r="M27" s="57"/>
      <c r="N27" s="57"/>
      <c r="O27" s="57"/>
      <c r="P27" s="57"/>
      <c r="Q27" s="57"/>
    </row>
    <row r="28">
      <c r="A28" s="60" t="s">
        <v>442</v>
      </c>
      <c r="B28" s="60" t="s">
        <v>443</v>
      </c>
      <c r="C28" s="57"/>
      <c r="D28" s="57"/>
      <c r="E28" s="57"/>
      <c r="F28" s="57"/>
      <c r="G28" s="57"/>
      <c r="H28" s="57"/>
      <c r="I28" s="57"/>
      <c r="J28" s="57"/>
      <c r="K28" s="63"/>
      <c r="L28" s="57"/>
      <c r="M28" s="57"/>
      <c r="N28" s="57"/>
      <c r="O28" s="57"/>
      <c r="P28" s="57"/>
      <c r="Q28" s="57"/>
    </row>
    <row r="29">
      <c r="A29" s="60" t="s">
        <v>444</v>
      </c>
      <c r="B29" s="60" t="s">
        <v>445</v>
      </c>
      <c r="C29" s="57"/>
      <c r="D29" s="57"/>
      <c r="E29" s="57"/>
      <c r="F29" s="57"/>
      <c r="G29" s="57"/>
      <c r="H29" s="57"/>
      <c r="I29" s="57"/>
      <c r="J29" s="57"/>
      <c r="K29" s="63"/>
      <c r="L29" s="57"/>
      <c r="M29" s="57"/>
      <c r="N29" s="57"/>
      <c r="O29" s="57"/>
      <c r="P29" s="57"/>
      <c r="Q29" s="57"/>
    </row>
    <row r="30">
      <c r="A30" s="60" t="s">
        <v>446</v>
      </c>
      <c r="B30" s="60" t="s">
        <v>445</v>
      </c>
      <c r="C30" s="57"/>
      <c r="D30" s="57"/>
      <c r="E30" s="57"/>
      <c r="F30" s="57"/>
      <c r="G30" s="57"/>
      <c r="H30" s="57"/>
      <c r="I30" s="57"/>
      <c r="J30" s="57"/>
      <c r="K30" s="63"/>
      <c r="L30" s="57"/>
      <c r="M30" s="57"/>
      <c r="N30" s="57"/>
      <c r="O30" s="57"/>
      <c r="P30" s="57"/>
      <c r="Q30" s="57"/>
    </row>
    <row r="31">
      <c r="A31" s="60" t="s">
        <v>447</v>
      </c>
      <c r="B31" s="60" t="s">
        <v>448</v>
      </c>
      <c r="C31" s="57"/>
      <c r="D31" s="57"/>
      <c r="E31" s="57"/>
      <c r="F31" s="57"/>
      <c r="G31" s="57"/>
      <c r="H31" s="57"/>
      <c r="I31" s="57"/>
      <c r="J31" s="57"/>
      <c r="K31" s="63"/>
      <c r="L31" s="57"/>
      <c r="M31" s="57"/>
      <c r="N31" s="57"/>
      <c r="O31" s="57"/>
      <c r="P31" s="57"/>
      <c r="Q31" s="57"/>
    </row>
    <row r="32">
      <c r="A32" s="60" t="s">
        <v>57</v>
      </c>
      <c r="B32" s="60">
        <v>3.0</v>
      </c>
      <c r="C32" s="57"/>
      <c r="D32" s="57"/>
      <c r="E32" s="57"/>
      <c r="F32" s="57"/>
      <c r="G32" s="57"/>
      <c r="H32" s="57"/>
      <c r="I32" s="57"/>
      <c r="J32" s="57"/>
      <c r="K32" s="63"/>
      <c r="L32" s="57"/>
      <c r="M32" s="57"/>
      <c r="N32" s="57"/>
      <c r="O32" s="57"/>
      <c r="P32" s="57"/>
      <c r="Q32" s="57"/>
    </row>
    <row r="33">
      <c r="A33" s="60" t="s">
        <v>449</v>
      </c>
      <c r="B33" s="60" t="s">
        <v>450</v>
      </c>
      <c r="C33" s="57"/>
      <c r="D33" s="57"/>
      <c r="E33" s="57"/>
      <c r="F33" s="57"/>
      <c r="G33" s="57"/>
      <c r="H33" s="57"/>
      <c r="I33" s="57"/>
      <c r="J33" s="57"/>
      <c r="K33" s="63"/>
      <c r="L33" s="57"/>
      <c r="M33" s="57"/>
      <c r="N33" s="57"/>
      <c r="O33" s="57"/>
      <c r="P33" s="57"/>
      <c r="Q33" s="57"/>
    </row>
    <row r="34">
      <c r="A34" s="67" t="s">
        <v>93</v>
      </c>
      <c r="B34" s="60" t="s">
        <v>416</v>
      </c>
      <c r="C34" s="57"/>
      <c r="D34" s="57"/>
      <c r="E34" s="57"/>
      <c r="F34" s="57"/>
      <c r="G34" s="57"/>
      <c r="H34" s="57"/>
      <c r="I34" s="57"/>
      <c r="J34" s="57"/>
      <c r="K34" s="63"/>
      <c r="L34" s="57"/>
      <c r="M34" s="57"/>
      <c r="N34" s="57"/>
      <c r="O34" s="57"/>
      <c r="P34" s="57"/>
      <c r="Q34" s="57"/>
    </row>
    <row r="35">
      <c r="A35" s="60" t="s">
        <v>38</v>
      </c>
      <c r="B35" s="26"/>
      <c r="C35" s="65">
        <v>119.0</v>
      </c>
      <c r="D35" s="57">
        <f t="shared" ref="D35:D36" si="15">ROUNDDOWN(C35*1.1,0)</f>
        <v>130</v>
      </c>
      <c r="E35" s="57">
        <f t="shared" ref="E35:E36" si="16">ROUNDDOWN(C35*1.21,0)</f>
        <v>143</v>
      </c>
      <c r="F35" s="57">
        <f t="shared" ref="F35:F36" si="17">ROUNDDOWN(C35*1.33,0)</f>
        <v>158</v>
      </c>
      <c r="G35" s="57">
        <f t="shared" ref="G35:G36" si="18">ROUNDDOWN(C35*1.46,0)</f>
        <v>173</v>
      </c>
      <c r="H35" s="57">
        <f t="shared" ref="H35:H36" si="19">ROUNDDOWN(C35*1.6,0)</f>
        <v>190</v>
      </c>
      <c r="I35" s="57">
        <f t="shared" ref="I35:I36" si="20">ROUNDDOWN(C35*1.76,0)</f>
        <v>209</v>
      </c>
      <c r="J35" s="57">
        <f t="shared" ref="J35:J36" si="21">ROUNDDOWN(C35*1.93,0)</f>
        <v>229</v>
      </c>
      <c r="K35" s="63">
        <f t="shared" ref="K35:K36" si="22">ROUNDDOWN(C35*2.12,0)</f>
        <v>252</v>
      </c>
      <c r="L35" s="57">
        <f t="shared" ref="L35:L36" si="23">ROUNDDOWN(C35*2.33,0)</f>
        <v>277</v>
      </c>
      <c r="M35" s="57">
        <f t="shared" ref="M35:M36" si="24">ROUNDDOWN(C35*2.56,0)</f>
        <v>304</v>
      </c>
      <c r="N35" s="57">
        <f t="shared" ref="N35:N36" si="25">ROUNDDOWN(C35*2.81,0)</f>
        <v>334</v>
      </c>
      <c r="O35" s="57">
        <f t="shared" ref="O35:O36" si="26">ROUNDDOWN(C35*3.09,0)</f>
        <v>367</v>
      </c>
      <c r="P35" s="57">
        <f t="shared" ref="P35:P36" si="27">ROUNDDOWN(C35*3.39,0)</f>
        <v>403</v>
      </c>
      <c r="Q35" s="57"/>
    </row>
    <row r="36">
      <c r="A36" s="60" t="s">
        <v>24</v>
      </c>
      <c r="B36" s="26"/>
      <c r="C36" s="65">
        <v>42.0</v>
      </c>
      <c r="D36" s="57">
        <f t="shared" si="15"/>
        <v>46</v>
      </c>
      <c r="E36" s="57">
        <f t="shared" si="16"/>
        <v>50</v>
      </c>
      <c r="F36" s="57">
        <f t="shared" si="17"/>
        <v>55</v>
      </c>
      <c r="G36" s="57">
        <f t="shared" si="18"/>
        <v>61</v>
      </c>
      <c r="H36" s="57">
        <f t="shared" si="19"/>
        <v>67</v>
      </c>
      <c r="I36" s="57">
        <f t="shared" si="20"/>
        <v>73</v>
      </c>
      <c r="J36" s="57">
        <f t="shared" si="21"/>
        <v>81</v>
      </c>
      <c r="K36" s="63">
        <f t="shared" si="22"/>
        <v>89</v>
      </c>
      <c r="L36" s="57">
        <f t="shared" si="23"/>
        <v>97</v>
      </c>
      <c r="M36" s="57">
        <f t="shared" si="24"/>
        <v>107</v>
      </c>
      <c r="N36" s="57">
        <f t="shared" si="25"/>
        <v>118</v>
      </c>
      <c r="O36" s="57">
        <f t="shared" si="26"/>
        <v>129</v>
      </c>
      <c r="P36" s="57">
        <f t="shared" si="27"/>
        <v>142</v>
      </c>
      <c r="Q36" s="57"/>
    </row>
    <row r="37">
      <c r="A37" s="60" t="s">
        <v>428</v>
      </c>
      <c r="B37" s="60" t="s">
        <v>429</v>
      </c>
      <c r="C37" s="57"/>
      <c r="D37" s="57"/>
      <c r="E37" s="57"/>
      <c r="F37" s="57"/>
      <c r="G37" s="57"/>
      <c r="H37" s="57"/>
      <c r="I37" s="57"/>
      <c r="J37" s="57"/>
      <c r="K37" s="63"/>
      <c r="L37" s="57"/>
      <c r="M37" s="57"/>
      <c r="N37" s="57"/>
      <c r="O37" s="57"/>
      <c r="P37" s="57"/>
      <c r="Q37" s="57"/>
    </row>
    <row r="38">
      <c r="A38" s="60" t="s">
        <v>55</v>
      </c>
      <c r="B38" s="60" t="s">
        <v>430</v>
      </c>
      <c r="C38" s="57"/>
      <c r="D38" s="57"/>
      <c r="E38" s="57"/>
      <c r="F38" s="57"/>
      <c r="G38" s="57"/>
      <c r="H38" s="57"/>
      <c r="I38" s="57"/>
      <c r="J38" s="57"/>
      <c r="K38" s="63"/>
      <c r="L38" s="57"/>
      <c r="M38" s="57"/>
      <c r="N38" s="57"/>
      <c r="O38" s="57"/>
      <c r="P38" s="57"/>
      <c r="Q38" s="57"/>
    </row>
    <row r="39">
      <c r="A39" s="60" t="s">
        <v>51</v>
      </c>
      <c r="B39" s="60" t="s">
        <v>451</v>
      </c>
      <c r="C39" s="57"/>
      <c r="D39" s="57"/>
      <c r="E39" s="57"/>
      <c r="F39" s="57"/>
      <c r="G39" s="57"/>
      <c r="H39" s="57"/>
      <c r="I39" s="57"/>
      <c r="J39" s="57"/>
      <c r="K39" s="63"/>
      <c r="L39" s="57"/>
      <c r="M39" s="57"/>
      <c r="N39" s="57"/>
      <c r="O39" s="57"/>
      <c r="P39" s="57"/>
      <c r="Q39" s="57"/>
    </row>
    <row r="40">
      <c r="A40" s="60" t="s">
        <v>49</v>
      </c>
      <c r="B40" s="60" t="s">
        <v>452</v>
      </c>
      <c r="C40" s="57"/>
      <c r="D40" s="57"/>
      <c r="E40" s="57"/>
      <c r="F40" s="57"/>
      <c r="G40" s="57"/>
      <c r="H40" s="57"/>
      <c r="I40" s="57"/>
      <c r="J40" s="57"/>
      <c r="K40" s="63"/>
      <c r="L40" s="57"/>
      <c r="M40" s="57"/>
      <c r="N40" s="57"/>
      <c r="O40" s="57"/>
      <c r="P40" s="57"/>
      <c r="Q40" s="57"/>
    </row>
    <row r="41">
      <c r="A41" s="60" t="s">
        <v>432</v>
      </c>
      <c r="B41" s="60" t="s">
        <v>453</v>
      </c>
      <c r="C41" s="57"/>
      <c r="D41" s="57"/>
      <c r="E41" s="57"/>
      <c r="F41" s="57"/>
      <c r="G41" s="57"/>
      <c r="H41" s="57"/>
      <c r="I41" s="57"/>
      <c r="J41" s="57"/>
      <c r="K41" s="63"/>
      <c r="L41" s="57"/>
      <c r="M41" s="57"/>
      <c r="N41" s="57"/>
      <c r="O41" s="57"/>
      <c r="P41" s="57"/>
      <c r="Q41" s="57"/>
    </row>
    <row r="42">
      <c r="A42" s="60" t="s">
        <v>422</v>
      </c>
      <c r="B42" s="60" t="s">
        <v>454</v>
      </c>
      <c r="C42" s="57"/>
      <c r="D42" s="57"/>
      <c r="E42" s="57"/>
      <c r="F42" s="57"/>
      <c r="G42" s="57"/>
      <c r="H42" s="57"/>
      <c r="I42" s="57"/>
      <c r="J42" s="57"/>
      <c r="K42" s="63"/>
      <c r="L42" s="57"/>
      <c r="M42" s="57"/>
      <c r="N42" s="57"/>
      <c r="O42" s="57"/>
      <c r="P42" s="57"/>
      <c r="Q42" s="57"/>
    </row>
    <row r="43">
      <c r="A43" s="60" t="s">
        <v>435</v>
      </c>
      <c r="B43" s="60" t="s">
        <v>436</v>
      </c>
      <c r="C43" s="57"/>
      <c r="D43" s="57"/>
      <c r="E43" s="57"/>
      <c r="F43" s="57"/>
      <c r="G43" s="57"/>
      <c r="H43" s="57"/>
      <c r="I43" s="57"/>
      <c r="J43" s="57"/>
      <c r="K43" s="63"/>
      <c r="L43" s="57"/>
      <c r="M43" s="57"/>
      <c r="N43" s="57"/>
      <c r="O43" s="57"/>
      <c r="P43" s="57"/>
      <c r="Q43" s="57"/>
    </row>
    <row r="44">
      <c r="A44" s="60" t="s">
        <v>426</v>
      </c>
      <c r="B44" s="60" t="s">
        <v>455</v>
      </c>
      <c r="C44" s="57"/>
      <c r="D44" s="57"/>
      <c r="E44" s="57"/>
      <c r="F44" s="57"/>
      <c r="G44" s="57"/>
      <c r="H44" s="57"/>
      <c r="I44" s="57"/>
      <c r="J44" s="57"/>
      <c r="K44" s="63"/>
      <c r="L44" s="57"/>
      <c r="M44" s="57"/>
      <c r="N44" s="57"/>
      <c r="O44" s="57"/>
      <c r="P44" s="57"/>
      <c r="Q44" s="57"/>
    </row>
    <row r="45">
      <c r="A45" s="60" t="s">
        <v>53</v>
      </c>
      <c r="B45" s="60" t="s">
        <v>456</v>
      </c>
      <c r="C45" s="57"/>
      <c r="D45" s="57"/>
      <c r="E45" s="57"/>
      <c r="F45" s="57"/>
      <c r="G45" s="57"/>
      <c r="H45" s="57"/>
      <c r="I45" s="57"/>
      <c r="J45" s="57"/>
      <c r="K45" s="63"/>
      <c r="L45" s="57"/>
      <c r="M45" s="57"/>
      <c r="N45" s="57"/>
      <c r="O45" s="57"/>
      <c r="P45" s="57"/>
      <c r="Q45" s="57"/>
    </row>
    <row r="46">
      <c r="A46" s="60" t="s">
        <v>50</v>
      </c>
      <c r="B46" s="60" t="s">
        <v>425</v>
      </c>
      <c r="C46" s="57"/>
      <c r="D46" s="57"/>
      <c r="E46" s="57"/>
      <c r="F46" s="57"/>
      <c r="G46" s="57"/>
      <c r="H46" s="57"/>
      <c r="I46" s="57"/>
      <c r="J46" s="57"/>
      <c r="K46" s="63"/>
      <c r="L46" s="57"/>
      <c r="M46" s="57"/>
      <c r="N46" s="57"/>
      <c r="O46" s="57"/>
      <c r="P46" s="57"/>
      <c r="Q46" s="57"/>
    </row>
    <row r="47">
      <c r="A47" s="60" t="s">
        <v>438</v>
      </c>
      <c r="B47" s="60" t="s">
        <v>436</v>
      </c>
      <c r="C47" s="57"/>
      <c r="D47" s="57"/>
      <c r="E47" s="57"/>
      <c r="F47" s="57"/>
      <c r="G47" s="57"/>
      <c r="H47" s="57"/>
      <c r="I47" s="57"/>
      <c r="J47" s="57"/>
      <c r="K47" s="63"/>
      <c r="L47" s="57"/>
      <c r="M47" s="57"/>
      <c r="N47" s="57"/>
      <c r="O47" s="57"/>
      <c r="P47" s="57"/>
      <c r="Q47" s="57"/>
    </row>
    <row r="48">
      <c r="A48" s="60" t="s">
        <v>439</v>
      </c>
      <c r="B48" s="60" t="s">
        <v>440</v>
      </c>
      <c r="C48" s="57"/>
      <c r="D48" s="57"/>
      <c r="E48" s="57"/>
      <c r="F48" s="57"/>
      <c r="G48" s="57"/>
      <c r="H48" s="57"/>
      <c r="I48" s="57"/>
      <c r="J48" s="57"/>
      <c r="K48" s="63"/>
      <c r="L48" s="57"/>
      <c r="M48" s="57"/>
      <c r="N48" s="57"/>
      <c r="O48" s="57"/>
      <c r="P48" s="57"/>
      <c r="Q48" s="57"/>
    </row>
    <row r="49">
      <c r="A49" s="60" t="s">
        <v>441</v>
      </c>
      <c r="B49" s="60">
        <v>3.0</v>
      </c>
      <c r="C49" s="57"/>
      <c r="D49" s="57"/>
      <c r="E49" s="57"/>
      <c r="F49" s="57"/>
      <c r="G49" s="57"/>
      <c r="H49" s="57"/>
      <c r="I49" s="57"/>
      <c r="J49" s="57"/>
      <c r="K49" s="63"/>
      <c r="L49" s="57"/>
      <c r="M49" s="57"/>
      <c r="N49" s="57"/>
      <c r="O49" s="57"/>
      <c r="P49" s="57"/>
      <c r="Q49" s="57"/>
    </row>
    <row r="50">
      <c r="A50" s="60" t="s">
        <v>444</v>
      </c>
      <c r="B50" s="60" t="s">
        <v>445</v>
      </c>
      <c r="C50" s="57"/>
      <c r="D50" s="57"/>
      <c r="E50" s="57"/>
      <c r="F50" s="57"/>
      <c r="G50" s="57"/>
      <c r="H50" s="57"/>
      <c r="I50" s="57"/>
      <c r="J50" s="57"/>
      <c r="K50" s="63"/>
      <c r="L50" s="57"/>
      <c r="M50" s="57"/>
      <c r="N50" s="57"/>
      <c r="O50" s="57"/>
      <c r="P50" s="57"/>
      <c r="Q50" s="57"/>
    </row>
    <row r="51">
      <c r="A51" s="60" t="s">
        <v>446</v>
      </c>
      <c r="B51" s="60" t="s">
        <v>445</v>
      </c>
      <c r="C51" s="57"/>
      <c r="D51" s="57"/>
      <c r="E51" s="57"/>
      <c r="F51" s="57"/>
      <c r="G51" s="57"/>
      <c r="H51" s="57"/>
      <c r="I51" s="57"/>
      <c r="J51" s="57"/>
      <c r="K51" s="63"/>
      <c r="L51" s="57"/>
      <c r="M51" s="57"/>
      <c r="N51" s="57"/>
      <c r="O51" s="57"/>
      <c r="P51" s="57"/>
      <c r="Q51" s="57"/>
    </row>
    <row r="52">
      <c r="A52" s="60" t="s">
        <v>447</v>
      </c>
      <c r="B52" s="60" t="s">
        <v>433</v>
      </c>
      <c r="C52" s="57"/>
      <c r="D52" s="57"/>
      <c r="E52" s="57"/>
      <c r="F52" s="57"/>
      <c r="G52" s="57"/>
      <c r="H52" s="57"/>
      <c r="I52" s="57"/>
      <c r="J52" s="57"/>
      <c r="K52" s="63"/>
      <c r="L52" s="57"/>
      <c r="M52" s="57"/>
      <c r="N52" s="57"/>
      <c r="O52" s="57"/>
      <c r="P52" s="57"/>
      <c r="Q52" s="57"/>
    </row>
    <row r="53">
      <c r="A53" s="60" t="s">
        <v>57</v>
      </c>
      <c r="B53" s="60">
        <v>2.0</v>
      </c>
      <c r="C53" s="57"/>
      <c r="D53" s="57"/>
      <c r="E53" s="57"/>
      <c r="F53" s="57"/>
      <c r="G53" s="57"/>
      <c r="H53" s="57"/>
      <c r="I53" s="57"/>
      <c r="J53" s="57"/>
      <c r="K53" s="63"/>
      <c r="L53" s="57"/>
      <c r="M53" s="57"/>
      <c r="N53" s="57"/>
      <c r="O53" s="57"/>
      <c r="P53" s="57"/>
      <c r="Q53" s="57"/>
    </row>
    <row r="54">
      <c r="A54" s="60" t="s">
        <v>449</v>
      </c>
      <c r="B54" s="60" t="s">
        <v>450</v>
      </c>
      <c r="C54" s="57"/>
      <c r="D54" s="57"/>
      <c r="E54" s="57"/>
      <c r="F54" s="57"/>
      <c r="G54" s="57"/>
      <c r="H54" s="57"/>
      <c r="I54" s="57"/>
      <c r="J54" s="57"/>
      <c r="K54" s="63"/>
      <c r="L54" s="57"/>
      <c r="M54" s="57"/>
      <c r="N54" s="57"/>
      <c r="O54" s="57"/>
      <c r="P54" s="57"/>
      <c r="Q54" s="57"/>
    </row>
    <row r="55">
      <c r="A55" s="67" t="s">
        <v>97</v>
      </c>
      <c r="B55" s="60" t="s">
        <v>416</v>
      </c>
      <c r="C55" s="57"/>
      <c r="D55" s="57"/>
      <c r="E55" s="57"/>
      <c r="F55" s="57"/>
      <c r="G55" s="57"/>
      <c r="H55" s="57"/>
      <c r="I55" s="57"/>
      <c r="J55" s="57"/>
      <c r="K55" s="63"/>
      <c r="L55" s="57"/>
      <c r="M55" s="57"/>
      <c r="N55" s="57"/>
      <c r="O55" s="57"/>
      <c r="P55" s="57"/>
      <c r="Q55" s="57"/>
    </row>
    <row r="56">
      <c r="A56" s="60" t="s">
        <v>38</v>
      </c>
      <c r="B56" s="26"/>
      <c r="C56" s="65">
        <v>651.0</v>
      </c>
      <c r="D56" s="57">
        <f t="shared" ref="D56:D57" si="28">ROUNDDOWN(C56*1.1,0)</f>
        <v>716</v>
      </c>
      <c r="E56" s="57">
        <f t="shared" ref="E56:E57" si="29">ROUNDDOWN(C56*1.21,0)</f>
        <v>787</v>
      </c>
      <c r="F56" s="57">
        <f t="shared" ref="F56:F57" si="30">ROUNDDOWN(C56*1.33,0)</f>
        <v>865</v>
      </c>
      <c r="G56" s="57">
        <f t="shared" ref="G56:G57" si="31">ROUNDDOWN(C56*1.46,0)</f>
        <v>950</v>
      </c>
      <c r="H56" s="57">
        <f t="shared" ref="H56:H57" si="32">ROUNDDOWN(C56*1.6,0)</f>
        <v>1041</v>
      </c>
      <c r="I56" s="57">
        <f t="shared" ref="I56:I57" si="33">ROUNDDOWN(C56*1.76,0)</f>
        <v>1145</v>
      </c>
      <c r="J56" s="57">
        <f t="shared" ref="J56:J57" si="34">ROUNDDOWN(C56*1.93,0)</f>
        <v>1256</v>
      </c>
      <c r="K56" s="63">
        <f t="shared" ref="K56:K57" si="35">ROUNDDOWN(C56*2.12,0)</f>
        <v>1380</v>
      </c>
      <c r="L56" s="57">
        <f t="shared" ref="L56:L57" si="36">ROUNDDOWN(C56*2.33,0)</f>
        <v>1516</v>
      </c>
      <c r="M56" s="57">
        <f t="shared" ref="M56:M57" si="37">ROUNDDOWN(C56*2.56,0)</f>
        <v>1666</v>
      </c>
      <c r="N56" s="57">
        <f t="shared" ref="N56:N57" si="38">ROUNDDOWN(C56*2.81,0)</f>
        <v>1829</v>
      </c>
      <c r="O56" s="57">
        <f t="shared" ref="O56:O57" si="39">ROUNDDOWN(C56*3.09,0)</f>
        <v>2011</v>
      </c>
      <c r="P56" s="57">
        <f t="shared" ref="P56:P57" si="40">ROUNDDOWN(C56*3.39,0)</f>
        <v>2206</v>
      </c>
      <c r="Q56" s="57"/>
    </row>
    <row r="57">
      <c r="A57" s="60" t="s">
        <v>24</v>
      </c>
      <c r="B57" s="26"/>
      <c r="C57" s="65">
        <v>79.0</v>
      </c>
      <c r="D57" s="57">
        <f t="shared" si="28"/>
        <v>86</v>
      </c>
      <c r="E57" s="57">
        <f t="shared" si="29"/>
        <v>95</v>
      </c>
      <c r="F57" s="57">
        <f t="shared" si="30"/>
        <v>105</v>
      </c>
      <c r="G57" s="57">
        <f t="shared" si="31"/>
        <v>115</v>
      </c>
      <c r="H57" s="57">
        <f t="shared" si="32"/>
        <v>126</v>
      </c>
      <c r="I57" s="57">
        <f t="shared" si="33"/>
        <v>139</v>
      </c>
      <c r="J57" s="57">
        <f t="shared" si="34"/>
        <v>152</v>
      </c>
      <c r="K57" s="63">
        <f t="shared" si="35"/>
        <v>167</v>
      </c>
      <c r="L57" s="57">
        <f t="shared" si="36"/>
        <v>184</v>
      </c>
      <c r="M57" s="57">
        <f t="shared" si="37"/>
        <v>202</v>
      </c>
      <c r="N57" s="57">
        <f t="shared" si="38"/>
        <v>221</v>
      </c>
      <c r="O57" s="57">
        <f t="shared" si="39"/>
        <v>244</v>
      </c>
      <c r="P57" s="57">
        <f t="shared" si="40"/>
        <v>267</v>
      </c>
      <c r="Q57" s="57"/>
    </row>
    <row r="58">
      <c r="A58" s="60" t="s">
        <v>428</v>
      </c>
      <c r="B58" s="60" t="s">
        <v>429</v>
      </c>
      <c r="C58" s="57"/>
      <c r="D58" s="57"/>
      <c r="E58" s="57"/>
      <c r="F58" s="57"/>
      <c r="G58" s="57"/>
      <c r="H58" s="57"/>
      <c r="I58" s="57"/>
      <c r="J58" s="57"/>
      <c r="K58" s="63"/>
      <c r="L58" s="57"/>
      <c r="M58" s="57"/>
      <c r="N58" s="57"/>
      <c r="O58" s="57"/>
      <c r="P58" s="57"/>
      <c r="Q58" s="57"/>
    </row>
    <row r="59">
      <c r="A59" s="60" t="s">
        <v>55</v>
      </c>
      <c r="B59" s="60" t="s">
        <v>430</v>
      </c>
      <c r="C59" s="57"/>
      <c r="D59" s="57"/>
      <c r="E59" s="65"/>
      <c r="F59" s="57"/>
      <c r="G59" s="57"/>
      <c r="H59" s="57"/>
      <c r="I59" s="57"/>
      <c r="J59" s="57"/>
      <c r="K59" s="63"/>
      <c r="L59" s="57"/>
      <c r="M59" s="57"/>
      <c r="N59" s="57"/>
      <c r="O59" s="57"/>
      <c r="P59" s="57"/>
      <c r="Q59" s="57"/>
    </row>
    <row r="60">
      <c r="A60" s="60" t="s">
        <v>51</v>
      </c>
      <c r="B60" s="60" t="s">
        <v>451</v>
      </c>
      <c r="C60" s="57"/>
      <c r="D60" s="57"/>
      <c r="E60" s="57"/>
      <c r="F60" s="57"/>
      <c r="G60" s="57"/>
      <c r="H60" s="57"/>
      <c r="I60" s="57"/>
      <c r="J60" s="57"/>
      <c r="K60" s="63"/>
      <c r="L60" s="57"/>
      <c r="M60" s="57"/>
      <c r="N60" s="57"/>
      <c r="O60" s="57"/>
      <c r="P60" s="57"/>
      <c r="Q60" s="57"/>
    </row>
    <row r="61">
      <c r="A61" s="60" t="s">
        <v>49</v>
      </c>
      <c r="B61" s="60" t="s">
        <v>452</v>
      </c>
      <c r="C61" s="57"/>
      <c r="D61" s="57"/>
      <c r="E61" s="57"/>
      <c r="F61" s="57"/>
      <c r="G61" s="57"/>
      <c r="H61" s="57"/>
      <c r="I61" s="57"/>
      <c r="J61" s="57"/>
      <c r="K61" s="63"/>
      <c r="L61" s="57"/>
      <c r="M61" s="57"/>
      <c r="N61" s="57"/>
      <c r="O61" s="57"/>
      <c r="P61" s="57"/>
      <c r="Q61" s="57"/>
    </row>
    <row r="62">
      <c r="A62" s="60" t="s">
        <v>432</v>
      </c>
      <c r="B62" s="60" t="s">
        <v>457</v>
      </c>
      <c r="C62" s="57"/>
      <c r="D62" s="57"/>
      <c r="E62" s="57"/>
      <c r="F62" s="57"/>
      <c r="G62" s="57"/>
      <c r="H62" s="57"/>
      <c r="I62" s="57"/>
      <c r="J62" s="57"/>
      <c r="K62" s="63"/>
      <c r="L62" s="57"/>
      <c r="M62" s="57"/>
      <c r="N62" s="57"/>
      <c r="O62" s="57"/>
      <c r="P62" s="57"/>
      <c r="Q62" s="57"/>
    </row>
    <row r="63">
      <c r="A63" s="60" t="s">
        <v>53</v>
      </c>
      <c r="B63" s="60" t="s">
        <v>458</v>
      </c>
      <c r="C63" s="57"/>
      <c r="D63" s="57"/>
      <c r="E63" s="57"/>
      <c r="F63" s="57"/>
      <c r="G63" s="57"/>
      <c r="H63" s="57"/>
      <c r="I63" s="57"/>
      <c r="J63" s="57"/>
      <c r="K63" s="63"/>
      <c r="L63" s="57"/>
      <c r="M63" s="57"/>
      <c r="N63" s="57"/>
      <c r="O63" s="57"/>
      <c r="P63" s="57"/>
      <c r="Q63" s="57"/>
    </row>
    <row r="64">
      <c r="A64" s="60" t="s">
        <v>50</v>
      </c>
      <c r="B64" s="60" t="s">
        <v>98</v>
      </c>
      <c r="C64" s="57"/>
      <c r="D64" s="57"/>
      <c r="E64" s="57"/>
      <c r="F64" s="57"/>
      <c r="G64" s="57"/>
      <c r="H64" s="57"/>
      <c r="I64" s="57"/>
      <c r="J64" s="57"/>
      <c r="K64" s="63"/>
      <c r="L64" s="57"/>
      <c r="M64" s="57"/>
      <c r="N64" s="57"/>
      <c r="O64" s="57"/>
      <c r="P64" s="57"/>
      <c r="Q64" s="57"/>
    </row>
    <row r="65">
      <c r="A65" s="60" t="s">
        <v>438</v>
      </c>
      <c r="B65" s="60" t="s">
        <v>436</v>
      </c>
      <c r="C65" s="57"/>
      <c r="D65" s="57"/>
      <c r="E65" s="57"/>
      <c r="F65" s="57"/>
      <c r="G65" s="57"/>
      <c r="H65" s="57"/>
      <c r="I65" s="57"/>
      <c r="J65" s="57"/>
      <c r="K65" s="63"/>
      <c r="L65" s="57"/>
      <c r="M65" s="57"/>
      <c r="N65" s="57"/>
      <c r="O65" s="57"/>
      <c r="P65" s="57"/>
      <c r="Q65" s="57"/>
    </row>
    <row r="66">
      <c r="A66" s="60" t="s">
        <v>439</v>
      </c>
      <c r="B66" s="60" t="s">
        <v>440</v>
      </c>
      <c r="C66" s="57"/>
      <c r="D66" s="57"/>
      <c r="E66" s="57"/>
      <c r="F66" s="57"/>
      <c r="G66" s="57"/>
      <c r="H66" s="57"/>
      <c r="I66" s="57"/>
      <c r="J66" s="57"/>
      <c r="K66" s="63"/>
      <c r="L66" s="57"/>
      <c r="M66" s="57"/>
      <c r="N66" s="57"/>
      <c r="O66" s="57"/>
      <c r="P66" s="57"/>
      <c r="Q66" s="57"/>
    </row>
    <row r="67">
      <c r="A67" s="60" t="s">
        <v>441</v>
      </c>
      <c r="B67" s="60">
        <v>6.0</v>
      </c>
      <c r="C67" s="57"/>
      <c r="D67" s="57"/>
      <c r="E67" s="57"/>
      <c r="F67" s="57"/>
      <c r="G67" s="57"/>
      <c r="H67" s="57"/>
      <c r="I67" s="57"/>
      <c r="J67" s="57"/>
      <c r="K67" s="63"/>
      <c r="L67" s="57"/>
      <c r="M67" s="57"/>
      <c r="N67" s="57"/>
      <c r="O67" s="57"/>
      <c r="P67" s="57"/>
      <c r="Q67" s="57"/>
    </row>
    <row r="68">
      <c r="A68" s="60" t="s">
        <v>444</v>
      </c>
      <c r="B68" s="60" t="s">
        <v>445</v>
      </c>
      <c r="C68" s="57"/>
      <c r="D68" s="57"/>
      <c r="E68" s="57"/>
      <c r="F68" s="57"/>
      <c r="G68" s="57"/>
      <c r="H68" s="57"/>
      <c r="I68" s="57"/>
      <c r="J68" s="57"/>
      <c r="K68" s="63"/>
      <c r="L68" s="57"/>
      <c r="M68" s="57"/>
      <c r="N68" s="57"/>
      <c r="O68" s="57"/>
      <c r="P68" s="57"/>
      <c r="Q68" s="57"/>
    </row>
    <row r="69">
      <c r="A69" s="60" t="s">
        <v>446</v>
      </c>
      <c r="B69" s="60" t="s">
        <v>445</v>
      </c>
      <c r="C69" s="57"/>
      <c r="D69" s="57"/>
      <c r="E69" s="57"/>
      <c r="F69" s="57"/>
      <c r="G69" s="57"/>
      <c r="H69" s="57"/>
      <c r="I69" s="57"/>
      <c r="J69" s="57"/>
      <c r="K69" s="63"/>
      <c r="L69" s="57"/>
      <c r="M69" s="57"/>
      <c r="N69" s="57"/>
      <c r="O69" s="57"/>
      <c r="P69" s="57"/>
      <c r="Q69" s="57"/>
    </row>
    <row r="70">
      <c r="A70" s="68" t="s">
        <v>100</v>
      </c>
      <c r="B70" s="60" t="s">
        <v>459</v>
      </c>
      <c r="C70" s="57"/>
      <c r="D70" s="57"/>
      <c r="E70" s="57"/>
      <c r="F70" s="57"/>
      <c r="G70" s="57"/>
      <c r="H70" s="57"/>
      <c r="I70" s="57"/>
      <c r="J70" s="57"/>
      <c r="K70" s="63"/>
      <c r="L70" s="57"/>
      <c r="M70" s="57"/>
      <c r="N70" s="57"/>
      <c r="O70" s="57"/>
      <c r="P70" s="57"/>
      <c r="Q70" s="57"/>
    </row>
    <row r="71">
      <c r="A71" s="69" t="s">
        <v>24</v>
      </c>
      <c r="B71" s="70"/>
      <c r="C71" s="57"/>
      <c r="D71" s="57"/>
      <c r="E71" s="71">
        <v>325.0</v>
      </c>
      <c r="F71" s="57">
        <f>ROUNDDOWN(E71*1.1,0)</f>
        <v>357</v>
      </c>
      <c r="G71" s="57">
        <f>ROUNDDOWN(E71*1.21,0)</f>
        <v>393</v>
      </c>
      <c r="H71" s="57">
        <f>ROUNDDOWN(E71*1.33,0)</f>
        <v>432</v>
      </c>
      <c r="I71" s="57">
        <f>ROUNDDOWN(E71*1.46,0)</f>
        <v>474</v>
      </c>
      <c r="J71" s="57">
        <f>ROUNDDOWN(E71*1.6,0)</f>
        <v>520</v>
      </c>
      <c r="K71" s="63">
        <f>ROUNDDOWN(E71*1.76,0)</f>
        <v>572</v>
      </c>
      <c r="L71" s="57">
        <f>ROUNDDOWN(E71*1.93,0)</f>
        <v>627</v>
      </c>
      <c r="M71" s="57">
        <f>ROUNDDOWN(E71*2.12,0)</f>
        <v>689</v>
      </c>
      <c r="N71" s="57">
        <f>ROUNDDOWN(E71*2.33,0)</f>
        <v>757</v>
      </c>
      <c r="O71" s="57">
        <f>ROUNDDOWN(E71*2.56,0)</f>
        <v>832</v>
      </c>
      <c r="P71" s="57">
        <f>ROUNDDOWN(E71*2.81,0)</f>
        <v>913</v>
      </c>
      <c r="Q71" s="57"/>
    </row>
    <row r="72">
      <c r="A72" s="69" t="s">
        <v>31</v>
      </c>
      <c r="B72" s="70"/>
      <c r="C72" s="57"/>
      <c r="D72" s="57"/>
      <c r="E72" s="65">
        <f t="shared" ref="E72:P72" si="41">ROUNDUP(E71*0.3,0)</f>
        <v>98</v>
      </c>
      <c r="F72" s="65">
        <f t="shared" si="41"/>
        <v>108</v>
      </c>
      <c r="G72" s="65">
        <f t="shared" si="41"/>
        <v>118</v>
      </c>
      <c r="H72" s="65">
        <f t="shared" si="41"/>
        <v>130</v>
      </c>
      <c r="I72" s="65">
        <f t="shared" si="41"/>
        <v>143</v>
      </c>
      <c r="J72" s="65">
        <f t="shared" si="41"/>
        <v>156</v>
      </c>
      <c r="K72" s="66">
        <f t="shared" si="41"/>
        <v>172</v>
      </c>
      <c r="L72" s="65">
        <f t="shared" si="41"/>
        <v>189</v>
      </c>
      <c r="M72" s="65">
        <f t="shared" si="41"/>
        <v>207</v>
      </c>
      <c r="N72" s="65">
        <f t="shared" si="41"/>
        <v>228</v>
      </c>
      <c r="O72" s="65">
        <f t="shared" si="41"/>
        <v>250</v>
      </c>
      <c r="P72" s="65">
        <f t="shared" si="41"/>
        <v>274</v>
      </c>
      <c r="Q72" s="65"/>
    </row>
    <row r="73">
      <c r="A73" s="69" t="s">
        <v>422</v>
      </c>
      <c r="B73" s="69" t="s">
        <v>454</v>
      </c>
      <c r="C73" s="72"/>
      <c r="D73" s="72"/>
      <c r="E73" s="72"/>
      <c r="F73" s="72"/>
      <c r="G73" s="72"/>
      <c r="H73" s="72"/>
      <c r="I73" s="72"/>
      <c r="J73" s="72"/>
      <c r="K73" s="73"/>
      <c r="L73" s="72"/>
      <c r="M73" s="72"/>
      <c r="N73" s="72"/>
      <c r="O73" s="72"/>
      <c r="P73" s="72"/>
      <c r="Q73" s="72"/>
    </row>
    <row r="74">
      <c r="A74" s="69" t="s">
        <v>460</v>
      </c>
      <c r="B74" s="69" t="s">
        <v>461</v>
      </c>
      <c r="C74" s="71"/>
      <c r="D74" s="72"/>
      <c r="E74" s="72"/>
      <c r="F74" s="72"/>
      <c r="G74" s="72"/>
      <c r="H74" s="72"/>
      <c r="I74" s="72"/>
      <c r="J74" s="72"/>
      <c r="K74" s="73"/>
      <c r="L74" s="72"/>
      <c r="M74" s="72"/>
      <c r="N74" s="72"/>
      <c r="O74" s="72"/>
      <c r="P74" s="72"/>
      <c r="Q74" s="72"/>
    </row>
    <row r="75">
      <c r="A75" s="69" t="s">
        <v>80</v>
      </c>
      <c r="B75" s="69" t="s">
        <v>462</v>
      </c>
      <c r="C75" s="72"/>
      <c r="D75" s="72"/>
      <c r="E75" s="72"/>
      <c r="F75" s="72"/>
      <c r="G75" s="72"/>
      <c r="H75" s="72"/>
      <c r="I75" s="72"/>
      <c r="J75" s="72"/>
      <c r="K75" s="73"/>
      <c r="L75" s="72"/>
      <c r="M75" s="72"/>
      <c r="N75" s="72"/>
      <c r="O75" s="72"/>
      <c r="P75" s="72"/>
      <c r="Q75" s="72"/>
    </row>
    <row r="76">
      <c r="A76" s="69" t="s">
        <v>50</v>
      </c>
      <c r="B76" s="74" t="s">
        <v>425</v>
      </c>
      <c r="C76" s="72"/>
      <c r="D76" s="72"/>
      <c r="E76" s="72"/>
      <c r="F76" s="72"/>
      <c r="G76" s="72"/>
      <c r="H76" s="72"/>
      <c r="I76" s="72"/>
      <c r="J76" s="72"/>
      <c r="K76" s="73"/>
      <c r="L76" s="72"/>
      <c r="M76" s="72"/>
      <c r="N76" s="72"/>
      <c r="O76" s="72"/>
      <c r="P76" s="72"/>
      <c r="Q76" s="72"/>
    </row>
    <row r="77">
      <c r="A77" s="69" t="s">
        <v>426</v>
      </c>
      <c r="B77" s="69" t="s">
        <v>427</v>
      </c>
      <c r="C77" s="72"/>
      <c r="D77" s="72"/>
      <c r="E77" s="72"/>
      <c r="F77" s="72"/>
      <c r="G77" s="72"/>
      <c r="H77" s="72"/>
      <c r="I77" s="72"/>
      <c r="J77" s="72"/>
      <c r="K77" s="73"/>
      <c r="L77" s="72"/>
      <c r="M77" s="72"/>
      <c r="N77" s="72"/>
      <c r="O77" s="72"/>
      <c r="P77" s="72"/>
      <c r="Q77" s="72"/>
    </row>
    <row r="78">
      <c r="A78" s="68" t="s">
        <v>102</v>
      </c>
      <c r="B78" s="60" t="s">
        <v>459</v>
      </c>
      <c r="C78" s="57"/>
      <c r="D78" s="57"/>
      <c r="E78" s="57"/>
      <c r="F78" s="57"/>
      <c r="G78" s="57"/>
      <c r="H78" s="57"/>
      <c r="I78" s="57"/>
      <c r="J78" s="57"/>
      <c r="K78" s="63"/>
      <c r="L78" s="57"/>
      <c r="M78" s="57"/>
      <c r="N78" s="57"/>
      <c r="O78" s="57"/>
      <c r="P78" s="57"/>
      <c r="Q78" s="57"/>
    </row>
    <row r="79">
      <c r="A79" s="69" t="s">
        <v>38</v>
      </c>
      <c r="B79" s="26"/>
      <c r="C79" s="57"/>
      <c r="D79" s="57"/>
      <c r="E79" s="65">
        <v>642.0</v>
      </c>
      <c r="F79" s="57">
        <f t="shared" ref="F79:F80" si="42">ROUNDDOWN(E79*1.1,0)</f>
        <v>706</v>
      </c>
      <c r="G79" s="57">
        <f t="shared" ref="G79:G80" si="43">ROUNDDOWN(E79*1.21,0)</f>
        <v>776</v>
      </c>
      <c r="H79" s="57">
        <f t="shared" ref="H79:H80" si="44">ROUNDDOWN(E79*1.33,0)</f>
        <v>853</v>
      </c>
      <c r="I79" s="57">
        <f t="shared" ref="I79:I80" si="45">ROUNDDOWN(E79*1.46,0)</f>
        <v>937</v>
      </c>
      <c r="J79" s="57">
        <f t="shared" ref="J79:J80" si="46">ROUNDDOWN(E79*1.6,0)</f>
        <v>1027</v>
      </c>
      <c r="K79" s="63">
        <f t="shared" ref="K79:K80" si="47">ROUNDDOWN(E79*1.76,0)</f>
        <v>1129</v>
      </c>
      <c r="L79" s="57">
        <f t="shared" ref="L79:L80" si="48">ROUNDDOWN(E79*1.93,0)</f>
        <v>1239</v>
      </c>
      <c r="M79" s="57">
        <f t="shared" ref="M79:M80" si="49">ROUNDDOWN(E79*2.12,0)</f>
        <v>1361</v>
      </c>
      <c r="N79" s="57">
        <f t="shared" ref="N79:N80" si="50">ROUNDDOWN(E79*2.33,0)</f>
        <v>1495</v>
      </c>
      <c r="O79" s="57">
        <f t="shared" ref="O79:O80" si="51">ROUNDDOWN(E79*2.56,0)</f>
        <v>1643</v>
      </c>
      <c r="P79" s="57">
        <f t="shared" ref="P79:P80" si="52">ROUNDDOWN(E79*2.81,0)</f>
        <v>1804</v>
      </c>
      <c r="Q79" s="57"/>
    </row>
    <row r="80">
      <c r="A80" s="69" t="s">
        <v>24</v>
      </c>
      <c r="B80" s="26"/>
      <c r="C80" s="57"/>
      <c r="D80" s="57"/>
      <c r="E80" s="65">
        <v>340.0</v>
      </c>
      <c r="F80" s="57">
        <f t="shared" si="42"/>
        <v>374</v>
      </c>
      <c r="G80" s="57">
        <f t="shared" si="43"/>
        <v>411</v>
      </c>
      <c r="H80" s="57">
        <f t="shared" si="44"/>
        <v>452</v>
      </c>
      <c r="I80" s="57">
        <f t="shared" si="45"/>
        <v>496</v>
      </c>
      <c r="J80" s="57">
        <f t="shared" si="46"/>
        <v>544</v>
      </c>
      <c r="K80" s="63">
        <f t="shared" si="47"/>
        <v>598</v>
      </c>
      <c r="L80" s="57">
        <f t="shared" si="48"/>
        <v>656</v>
      </c>
      <c r="M80" s="57">
        <f t="shared" si="49"/>
        <v>720</v>
      </c>
      <c r="N80" s="57">
        <f t="shared" si="50"/>
        <v>792</v>
      </c>
      <c r="O80" s="57">
        <f t="shared" si="51"/>
        <v>870</v>
      </c>
      <c r="P80" s="57">
        <f t="shared" si="52"/>
        <v>955</v>
      </c>
      <c r="Q80" s="57"/>
    </row>
    <row r="81">
      <c r="A81" s="69" t="s">
        <v>428</v>
      </c>
      <c r="B81" s="60" t="s">
        <v>429</v>
      </c>
      <c r="C81" s="57"/>
      <c r="D81" s="57"/>
      <c r="E81" s="57"/>
      <c r="F81" s="57"/>
      <c r="G81" s="57"/>
      <c r="H81" s="57"/>
      <c r="I81" s="57"/>
      <c r="J81" s="57"/>
      <c r="K81" s="63"/>
      <c r="L81" s="57"/>
      <c r="M81" s="57"/>
      <c r="N81" s="57"/>
      <c r="O81" s="57"/>
      <c r="P81" s="57"/>
      <c r="Q81" s="57"/>
    </row>
    <row r="82">
      <c r="A82" s="69" t="s">
        <v>55</v>
      </c>
      <c r="B82" s="60" t="s">
        <v>430</v>
      </c>
      <c r="C82" s="57"/>
      <c r="D82" s="57"/>
      <c r="E82" s="57"/>
      <c r="F82" s="57"/>
      <c r="G82" s="57"/>
      <c r="H82" s="57"/>
      <c r="I82" s="57"/>
      <c r="J82" s="57"/>
      <c r="K82" s="63"/>
      <c r="L82" s="57"/>
      <c r="M82" s="57"/>
      <c r="N82" s="57"/>
      <c r="O82" s="57"/>
      <c r="P82" s="57"/>
      <c r="Q82" s="57"/>
    </row>
    <row r="83">
      <c r="A83" s="69" t="s">
        <v>51</v>
      </c>
      <c r="B83" s="60" t="s">
        <v>431</v>
      </c>
      <c r="C83" s="57"/>
      <c r="D83" s="57"/>
      <c r="E83" s="57"/>
      <c r="F83" s="57"/>
      <c r="G83" s="57"/>
      <c r="H83" s="57"/>
      <c r="I83" s="57"/>
      <c r="J83" s="57"/>
      <c r="K83" s="63"/>
      <c r="L83" s="57"/>
      <c r="M83" s="57"/>
      <c r="N83" s="57"/>
      <c r="O83" s="57"/>
      <c r="P83" s="57"/>
      <c r="Q83" s="57"/>
    </row>
    <row r="84">
      <c r="A84" s="69" t="s">
        <v>49</v>
      </c>
      <c r="B84" s="60" t="s">
        <v>463</v>
      </c>
      <c r="C84" s="57"/>
      <c r="D84" s="57"/>
      <c r="E84" s="57"/>
      <c r="F84" s="57"/>
      <c r="G84" s="57"/>
      <c r="H84" s="57"/>
      <c r="I84" s="57"/>
      <c r="J84" s="57"/>
      <c r="K84" s="63"/>
      <c r="L84" s="57"/>
      <c r="M84" s="57"/>
      <c r="N84" s="57"/>
      <c r="O84" s="57"/>
      <c r="P84" s="57"/>
      <c r="Q84" s="57"/>
    </row>
    <row r="85">
      <c r="A85" s="69" t="s">
        <v>432</v>
      </c>
      <c r="B85" s="60" t="s">
        <v>452</v>
      </c>
      <c r="C85" s="57"/>
      <c r="D85" s="57"/>
      <c r="E85" s="57"/>
      <c r="F85" s="57"/>
      <c r="G85" s="57"/>
      <c r="H85" s="57"/>
      <c r="I85" s="57"/>
      <c r="J85" s="57"/>
      <c r="K85" s="63"/>
      <c r="L85" s="57"/>
      <c r="M85" s="57"/>
      <c r="N85" s="57"/>
      <c r="O85" s="57"/>
      <c r="P85" s="57"/>
      <c r="Q85" s="57"/>
    </row>
    <row r="86">
      <c r="A86" s="69" t="s">
        <v>53</v>
      </c>
      <c r="B86" s="60" t="s">
        <v>464</v>
      </c>
      <c r="C86" s="57"/>
      <c r="D86" s="57"/>
      <c r="E86" s="57"/>
      <c r="F86" s="57"/>
      <c r="G86" s="57"/>
      <c r="H86" s="57"/>
      <c r="I86" s="57"/>
      <c r="J86" s="57"/>
      <c r="K86" s="63"/>
      <c r="L86" s="57"/>
      <c r="M86" s="57"/>
      <c r="N86" s="57"/>
      <c r="O86" s="57"/>
      <c r="P86" s="57"/>
      <c r="Q86" s="57"/>
    </row>
    <row r="87">
      <c r="A87" s="69" t="s">
        <v>50</v>
      </c>
      <c r="B87" s="60" t="s">
        <v>98</v>
      </c>
      <c r="C87" s="57"/>
      <c r="D87" s="57"/>
      <c r="E87" s="57"/>
      <c r="F87" s="57"/>
      <c r="G87" s="57"/>
      <c r="H87" s="57"/>
      <c r="I87" s="57"/>
      <c r="J87" s="57"/>
      <c r="K87" s="63"/>
      <c r="L87" s="57"/>
      <c r="M87" s="57"/>
      <c r="N87" s="57"/>
      <c r="O87" s="57"/>
      <c r="P87" s="57"/>
      <c r="Q87" s="57"/>
    </row>
    <row r="88">
      <c r="A88" s="69" t="s">
        <v>438</v>
      </c>
      <c r="B88" s="60" t="s">
        <v>436</v>
      </c>
      <c r="C88" s="57"/>
      <c r="D88" s="57"/>
      <c r="E88" s="57"/>
      <c r="F88" s="57"/>
      <c r="G88" s="57"/>
      <c r="H88" s="57"/>
      <c r="I88" s="57"/>
      <c r="J88" s="57"/>
      <c r="K88" s="63"/>
      <c r="L88" s="57"/>
      <c r="M88" s="57"/>
      <c r="N88" s="57"/>
      <c r="O88" s="57"/>
      <c r="P88" s="57"/>
      <c r="Q88" s="57"/>
    </row>
    <row r="89">
      <c r="A89" s="69" t="s">
        <v>439</v>
      </c>
      <c r="B89" s="60" t="s">
        <v>445</v>
      </c>
      <c r="C89" s="57"/>
      <c r="D89" s="57"/>
      <c r="E89" s="57"/>
      <c r="F89" s="57"/>
      <c r="G89" s="57"/>
      <c r="H89" s="57"/>
      <c r="I89" s="57"/>
      <c r="J89" s="57"/>
      <c r="K89" s="63"/>
      <c r="L89" s="57"/>
      <c r="M89" s="57"/>
      <c r="N89" s="57"/>
      <c r="O89" s="57"/>
      <c r="P89" s="57"/>
      <c r="Q89" s="57"/>
    </row>
    <row r="90">
      <c r="A90" s="69" t="s">
        <v>441</v>
      </c>
      <c r="B90" s="60">
        <v>4.0</v>
      </c>
      <c r="C90" s="57"/>
      <c r="D90" s="57"/>
      <c r="E90" s="57"/>
      <c r="F90" s="57"/>
      <c r="G90" s="57"/>
      <c r="H90" s="57"/>
      <c r="I90" s="57"/>
      <c r="J90" s="57"/>
      <c r="K90" s="63"/>
      <c r="L90" s="57"/>
      <c r="M90" s="57"/>
      <c r="N90" s="57"/>
      <c r="O90" s="57"/>
      <c r="P90" s="57"/>
      <c r="Q90" s="57"/>
    </row>
    <row r="91">
      <c r="A91" s="69" t="s">
        <v>444</v>
      </c>
      <c r="B91" s="60" t="s">
        <v>445</v>
      </c>
      <c r="C91" s="57"/>
      <c r="D91" s="57"/>
      <c r="E91" s="57"/>
      <c r="F91" s="57"/>
      <c r="G91" s="57"/>
      <c r="H91" s="57"/>
      <c r="I91" s="57"/>
      <c r="J91" s="57"/>
      <c r="K91" s="63"/>
      <c r="L91" s="57"/>
      <c r="M91" s="57"/>
      <c r="N91" s="57"/>
      <c r="O91" s="57"/>
      <c r="P91" s="57"/>
      <c r="Q91" s="57"/>
    </row>
    <row r="92">
      <c r="A92" s="69" t="s">
        <v>446</v>
      </c>
      <c r="B92" s="60" t="s">
        <v>445</v>
      </c>
      <c r="C92" s="57"/>
      <c r="D92" s="57"/>
      <c r="E92" s="57"/>
      <c r="F92" s="57"/>
      <c r="G92" s="57"/>
      <c r="H92" s="57"/>
      <c r="I92" s="57"/>
      <c r="J92" s="57"/>
      <c r="K92" s="63"/>
      <c r="L92" s="57"/>
      <c r="M92" s="57"/>
      <c r="N92" s="57"/>
      <c r="O92" s="57"/>
      <c r="P92" s="57"/>
      <c r="Q92" s="57"/>
    </row>
    <row r="93">
      <c r="A93" s="68" t="s">
        <v>105</v>
      </c>
      <c r="B93" s="60" t="s">
        <v>459</v>
      </c>
      <c r="C93" s="57"/>
      <c r="D93" s="57"/>
      <c r="E93" s="57"/>
      <c r="F93" s="57"/>
      <c r="G93" s="57"/>
      <c r="H93" s="57"/>
      <c r="I93" s="57"/>
      <c r="J93" s="57"/>
      <c r="K93" s="63"/>
      <c r="L93" s="57"/>
      <c r="M93" s="57"/>
      <c r="N93" s="57"/>
      <c r="O93" s="57"/>
      <c r="P93" s="57"/>
      <c r="Q93" s="57"/>
    </row>
    <row r="94">
      <c r="A94" s="69" t="s">
        <v>38</v>
      </c>
      <c r="B94" s="26"/>
      <c r="C94" s="65"/>
      <c r="D94" s="57"/>
      <c r="E94" s="75">
        <v>340.0</v>
      </c>
      <c r="F94" s="57">
        <f t="shared" ref="F94:F95" si="53">ROUNDDOWN(E94*1.1,0)</f>
        <v>374</v>
      </c>
      <c r="G94" s="57">
        <f t="shared" ref="G94:G95" si="54">ROUNDDOWN(E94*1.21,0)</f>
        <v>411</v>
      </c>
      <c r="H94" s="57">
        <f t="shared" ref="H94:H95" si="55">ROUNDDOWN(E94*1.33,0)</f>
        <v>452</v>
      </c>
      <c r="I94" s="57">
        <f t="shared" ref="I94:I95" si="56">ROUNDDOWN(E94*1.46,0)</f>
        <v>496</v>
      </c>
      <c r="J94" s="57">
        <f t="shared" ref="J94:J95" si="57">ROUNDDOWN(E94*1.6,0)</f>
        <v>544</v>
      </c>
      <c r="K94" s="63">
        <f t="shared" ref="K94:K95" si="58">ROUNDDOWN(E94*1.76,0)</f>
        <v>598</v>
      </c>
      <c r="L94" s="57">
        <f t="shared" ref="L94:L95" si="59">ROUNDDOWN(E94*1.93,0)</f>
        <v>656</v>
      </c>
      <c r="M94" s="57">
        <f t="shared" ref="M94:M95" si="60">ROUNDDOWN(E94*2.12,0)</f>
        <v>720</v>
      </c>
      <c r="N94" s="57">
        <f t="shared" ref="N94:N95" si="61">ROUNDDOWN(E94*2.33,0)</f>
        <v>792</v>
      </c>
      <c r="O94" s="57">
        <f t="shared" ref="O94:O95" si="62">ROUNDDOWN(E94*2.56,0)</f>
        <v>870</v>
      </c>
      <c r="P94" s="57">
        <f t="shared" ref="P94:P95" si="63">ROUNDDOWN(E94*2.81,0)</f>
        <v>955</v>
      </c>
      <c r="Q94" s="57"/>
    </row>
    <row r="95">
      <c r="A95" s="69" t="s">
        <v>24</v>
      </c>
      <c r="B95" s="26"/>
      <c r="C95" s="65"/>
      <c r="D95" s="57"/>
      <c r="E95" s="65">
        <v>103.0</v>
      </c>
      <c r="F95" s="57">
        <f t="shared" si="53"/>
        <v>113</v>
      </c>
      <c r="G95" s="57">
        <f t="shared" si="54"/>
        <v>124</v>
      </c>
      <c r="H95" s="57">
        <f t="shared" si="55"/>
        <v>136</v>
      </c>
      <c r="I95" s="57">
        <f t="shared" si="56"/>
        <v>150</v>
      </c>
      <c r="J95" s="57">
        <f t="shared" si="57"/>
        <v>164</v>
      </c>
      <c r="K95" s="63">
        <f t="shared" si="58"/>
        <v>181</v>
      </c>
      <c r="L95" s="57">
        <f t="shared" si="59"/>
        <v>198</v>
      </c>
      <c r="M95" s="57">
        <f t="shared" si="60"/>
        <v>218</v>
      </c>
      <c r="N95" s="57">
        <f t="shared" si="61"/>
        <v>239</v>
      </c>
      <c r="O95" s="57">
        <f t="shared" si="62"/>
        <v>263</v>
      </c>
      <c r="P95" s="57">
        <f t="shared" si="63"/>
        <v>289</v>
      </c>
      <c r="Q95" s="57"/>
    </row>
    <row r="96">
      <c r="A96" s="69" t="s">
        <v>428</v>
      </c>
      <c r="B96" s="60" t="s">
        <v>465</v>
      </c>
      <c r="C96" s="57"/>
      <c r="D96" s="57"/>
      <c r="E96" s="57"/>
      <c r="F96" s="57"/>
      <c r="G96" s="57"/>
      <c r="H96" s="57"/>
      <c r="I96" s="57"/>
      <c r="J96" s="57"/>
      <c r="K96" s="63"/>
      <c r="L96" s="57"/>
      <c r="M96" s="57"/>
      <c r="N96" s="57"/>
      <c r="O96" s="57"/>
      <c r="P96" s="57"/>
      <c r="Q96" s="57"/>
    </row>
    <row r="97">
      <c r="A97" s="69" t="s">
        <v>55</v>
      </c>
      <c r="B97" s="60" t="s">
        <v>430</v>
      </c>
      <c r="C97" s="57"/>
      <c r="D97" s="57"/>
      <c r="E97" s="57"/>
      <c r="F97" s="57"/>
      <c r="G97" s="57"/>
      <c r="H97" s="57"/>
      <c r="I97" s="57"/>
      <c r="J97" s="57"/>
      <c r="K97" s="63"/>
      <c r="L97" s="57"/>
      <c r="M97" s="57"/>
      <c r="N97" s="57"/>
      <c r="O97" s="57"/>
      <c r="P97" s="57"/>
      <c r="Q97" s="57"/>
    </row>
    <row r="98">
      <c r="A98" s="69" t="s">
        <v>51</v>
      </c>
      <c r="B98" s="60" t="s">
        <v>451</v>
      </c>
      <c r="C98" s="57"/>
      <c r="D98" s="57"/>
      <c r="E98" s="57"/>
      <c r="F98" s="57"/>
      <c r="G98" s="57"/>
      <c r="H98" s="57"/>
      <c r="I98" s="57"/>
      <c r="J98" s="57"/>
      <c r="K98" s="63"/>
      <c r="L98" s="57"/>
      <c r="M98" s="57"/>
      <c r="N98" s="57"/>
      <c r="O98" s="57"/>
      <c r="P98" s="57"/>
      <c r="Q98" s="57"/>
    </row>
    <row r="99">
      <c r="A99" s="69" t="s">
        <v>49</v>
      </c>
      <c r="B99" s="60" t="s">
        <v>453</v>
      </c>
      <c r="C99" s="57"/>
      <c r="D99" s="57"/>
      <c r="E99" s="57"/>
      <c r="F99" s="57"/>
      <c r="G99" s="57"/>
      <c r="H99" s="57"/>
      <c r="I99" s="57"/>
      <c r="J99" s="57"/>
      <c r="K99" s="63"/>
      <c r="L99" s="57"/>
      <c r="M99" s="57"/>
      <c r="N99" s="57"/>
      <c r="O99" s="57"/>
      <c r="P99" s="57"/>
      <c r="Q99" s="57"/>
    </row>
    <row r="100">
      <c r="A100" s="69" t="s">
        <v>432</v>
      </c>
      <c r="B100" s="60" t="s">
        <v>466</v>
      </c>
      <c r="C100" s="57"/>
      <c r="D100" s="57"/>
      <c r="E100" s="57"/>
      <c r="F100" s="57"/>
      <c r="G100" s="57"/>
      <c r="H100" s="57"/>
      <c r="I100" s="57"/>
      <c r="J100" s="57"/>
      <c r="K100" s="63"/>
      <c r="L100" s="57"/>
      <c r="M100" s="57"/>
      <c r="N100" s="57"/>
      <c r="O100" s="57"/>
      <c r="P100" s="57"/>
      <c r="Q100" s="57"/>
    </row>
    <row r="101">
      <c r="A101" s="69" t="s">
        <v>422</v>
      </c>
      <c r="B101" s="60" t="s">
        <v>434</v>
      </c>
      <c r="C101" s="57"/>
      <c r="D101" s="57"/>
      <c r="E101" s="57"/>
      <c r="F101" s="57"/>
      <c r="G101" s="57"/>
      <c r="H101" s="57"/>
      <c r="I101" s="57"/>
      <c r="J101" s="57"/>
      <c r="K101" s="63"/>
      <c r="L101" s="57"/>
      <c r="M101" s="57"/>
      <c r="N101" s="57"/>
      <c r="O101" s="57"/>
      <c r="P101" s="57"/>
      <c r="Q101" s="57"/>
    </row>
    <row r="102">
      <c r="A102" s="69" t="s">
        <v>435</v>
      </c>
      <c r="B102" s="60" t="s">
        <v>436</v>
      </c>
      <c r="C102" s="57"/>
      <c r="D102" s="57"/>
      <c r="E102" s="57"/>
      <c r="F102" s="57"/>
      <c r="G102" s="57"/>
      <c r="H102" s="57"/>
      <c r="I102" s="57"/>
      <c r="J102" s="57"/>
      <c r="K102" s="63"/>
      <c r="L102" s="57"/>
      <c r="M102" s="57"/>
      <c r="N102" s="57"/>
      <c r="O102" s="57"/>
      <c r="P102" s="57"/>
      <c r="Q102" s="57"/>
    </row>
    <row r="103">
      <c r="A103" s="69" t="s">
        <v>53</v>
      </c>
      <c r="B103" s="60" t="s">
        <v>465</v>
      </c>
      <c r="C103" s="57"/>
      <c r="D103" s="57"/>
      <c r="E103" s="57"/>
      <c r="F103" s="57"/>
      <c r="G103" s="57"/>
      <c r="H103" s="57"/>
      <c r="I103" s="57"/>
      <c r="J103" s="57"/>
      <c r="K103" s="63"/>
      <c r="L103" s="57"/>
      <c r="M103" s="57"/>
      <c r="N103" s="57"/>
      <c r="O103" s="57"/>
      <c r="P103" s="57"/>
      <c r="Q103" s="57"/>
    </row>
    <row r="104">
      <c r="A104" s="69" t="s">
        <v>50</v>
      </c>
      <c r="B104" s="60" t="s">
        <v>425</v>
      </c>
      <c r="C104" s="57"/>
      <c r="D104" s="57"/>
      <c r="E104" s="57"/>
      <c r="F104" s="57"/>
      <c r="G104" s="57"/>
      <c r="H104" s="57"/>
      <c r="I104" s="57"/>
      <c r="J104" s="57"/>
      <c r="K104" s="63"/>
      <c r="L104" s="57"/>
      <c r="M104" s="57"/>
      <c r="N104" s="57"/>
      <c r="O104" s="57"/>
      <c r="P104" s="57"/>
      <c r="Q104" s="57"/>
    </row>
    <row r="105">
      <c r="A105" s="69" t="s">
        <v>438</v>
      </c>
      <c r="B105" s="60" t="s">
        <v>436</v>
      </c>
      <c r="C105" s="57"/>
      <c r="D105" s="57"/>
      <c r="E105" s="57"/>
      <c r="F105" s="57"/>
      <c r="G105" s="57"/>
      <c r="H105" s="57"/>
      <c r="I105" s="57"/>
      <c r="J105" s="57"/>
      <c r="K105" s="63"/>
      <c r="L105" s="57"/>
      <c r="M105" s="57"/>
      <c r="N105" s="57"/>
      <c r="O105" s="57"/>
      <c r="P105" s="57"/>
      <c r="Q105" s="57"/>
    </row>
    <row r="106">
      <c r="A106" s="69" t="s">
        <v>439</v>
      </c>
      <c r="B106" s="60" t="s">
        <v>440</v>
      </c>
      <c r="C106" s="57"/>
      <c r="D106" s="57"/>
      <c r="E106" s="57"/>
      <c r="F106" s="57"/>
      <c r="G106" s="57"/>
      <c r="H106" s="57"/>
      <c r="I106" s="57"/>
      <c r="J106" s="57"/>
      <c r="K106" s="63"/>
      <c r="L106" s="57"/>
      <c r="M106" s="57"/>
      <c r="N106" s="57"/>
      <c r="O106" s="57"/>
      <c r="P106" s="57"/>
      <c r="Q106" s="57"/>
    </row>
    <row r="107">
      <c r="A107" s="69" t="s">
        <v>441</v>
      </c>
      <c r="B107" s="60">
        <v>5.0</v>
      </c>
      <c r="C107" s="57"/>
      <c r="D107" s="57"/>
      <c r="E107" s="57"/>
      <c r="F107" s="57"/>
      <c r="G107" s="57"/>
      <c r="H107" s="57"/>
      <c r="I107" s="57"/>
      <c r="J107" s="57"/>
      <c r="K107" s="63"/>
      <c r="L107" s="57"/>
      <c r="M107" s="57"/>
      <c r="N107" s="57"/>
      <c r="O107" s="57"/>
      <c r="P107" s="57"/>
      <c r="Q107" s="57"/>
    </row>
    <row r="108">
      <c r="A108" s="69" t="s">
        <v>467</v>
      </c>
      <c r="B108" s="60" t="s">
        <v>464</v>
      </c>
      <c r="C108" s="57"/>
      <c r="D108" s="57"/>
      <c r="E108" s="57"/>
      <c r="F108" s="57"/>
      <c r="G108" s="57"/>
      <c r="H108" s="57"/>
      <c r="I108" s="57"/>
      <c r="J108" s="57"/>
      <c r="K108" s="63"/>
      <c r="L108" s="57"/>
      <c r="M108" s="57"/>
      <c r="N108" s="57"/>
      <c r="O108" s="57"/>
      <c r="P108" s="57"/>
      <c r="Q108" s="57"/>
    </row>
    <row r="109">
      <c r="A109" s="69" t="s">
        <v>444</v>
      </c>
      <c r="B109" s="60" t="s">
        <v>445</v>
      </c>
      <c r="C109" s="57"/>
      <c r="D109" s="57"/>
      <c r="E109" s="57"/>
      <c r="F109" s="57"/>
      <c r="G109" s="57"/>
      <c r="H109" s="57"/>
      <c r="I109" s="57"/>
      <c r="J109" s="57"/>
      <c r="K109" s="63"/>
      <c r="L109" s="57"/>
      <c r="M109" s="57"/>
      <c r="N109" s="57"/>
      <c r="O109" s="57"/>
      <c r="P109" s="57"/>
      <c r="Q109" s="57"/>
    </row>
    <row r="110">
      <c r="A110" s="69" t="s">
        <v>446</v>
      </c>
      <c r="B110" s="60" t="s">
        <v>445</v>
      </c>
      <c r="C110" s="57"/>
      <c r="D110" s="57"/>
      <c r="E110" s="57"/>
      <c r="F110" s="57"/>
      <c r="G110" s="57"/>
      <c r="H110" s="57"/>
      <c r="I110" s="57"/>
      <c r="J110" s="57"/>
      <c r="K110" s="63"/>
      <c r="L110" s="57"/>
      <c r="M110" s="57"/>
      <c r="N110" s="57"/>
      <c r="O110" s="57"/>
      <c r="P110" s="57"/>
      <c r="Q110" s="57"/>
    </row>
    <row r="111">
      <c r="A111" s="69" t="s">
        <v>447</v>
      </c>
      <c r="B111" s="60" t="s">
        <v>466</v>
      </c>
      <c r="C111" s="57"/>
      <c r="D111" s="57"/>
      <c r="E111" s="57"/>
      <c r="F111" s="57"/>
      <c r="G111" s="57"/>
      <c r="H111" s="57"/>
      <c r="I111" s="57"/>
      <c r="J111" s="57"/>
      <c r="K111" s="63"/>
      <c r="L111" s="57"/>
      <c r="M111" s="57"/>
      <c r="N111" s="57"/>
      <c r="O111" s="57"/>
      <c r="P111" s="57"/>
      <c r="Q111" s="57"/>
    </row>
    <row r="112">
      <c r="A112" s="68" t="s">
        <v>107</v>
      </c>
      <c r="B112" s="60" t="s">
        <v>468</v>
      </c>
      <c r="C112" s="57"/>
      <c r="D112" s="57"/>
      <c r="E112" s="57"/>
      <c r="F112" s="57"/>
      <c r="G112" s="57"/>
      <c r="H112" s="57"/>
      <c r="I112" s="57"/>
      <c r="J112" s="57"/>
      <c r="K112" s="63"/>
      <c r="L112" s="57"/>
      <c r="M112" s="57"/>
      <c r="N112" s="57"/>
      <c r="O112" s="57"/>
      <c r="P112" s="57"/>
      <c r="Q112" s="57"/>
    </row>
    <row r="113">
      <c r="A113" s="60" t="s">
        <v>38</v>
      </c>
      <c r="B113" s="26"/>
      <c r="C113" s="65"/>
      <c r="D113" s="57"/>
      <c r="E113" s="65">
        <v>1861.0</v>
      </c>
      <c r="F113" s="57">
        <f t="shared" ref="F113:F114" si="64">ROUNDDOWN(E113*1.1,0)</f>
        <v>2047</v>
      </c>
      <c r="G113" s="57">
        <f t="shared" ref="G113:G114" si="65">ROUNDDOWN(E113*1.21,0)</f>
        <v>2251</v>
      </c>
      <c r="H113" s="57">
        <f t="shared" ref="H113:H114" si="66">ROUNDDOWN(E113*1.33,0)</f>
        <v>2475</v>
      </c>
      <c r="I113" s="57">
        <f t="shared" ref="I113:I114" si="67">ROUNDDOWN(E113*1.46,0)</f>
        <v>2717</v>
      </c>
      <c r="J113" s="57">
        <f t="shared" ref="J113:J114" si="68">ROUNDDOWN(E113*1.6,0)</f>
        <v>2977</v>
      </c>
      <c r="K113" s="63">
        <f t="shared" ref="K113:K114" si="69">ROUNDDOWN(E113*1.76,0)</f>
        <v>3275</v>
      </c>
      <c r="L113" s="57">
        <f t="shared" ref="L113:L114" si="70">ROUNDDOWN(E113*1.93,0)</f>
        <v>3591</v>
      </c>
      <c r="M113" s="57">
        <f t="shared" ref="M113:M114" si="71">ROUNDDOWN(E113*2.12,0)</f>
        <v>3945</v>
      </c>
      <c r="N113" s="57">
        <f t="shared" ref="N113:N114" si="72">ROUNDDOWN(E113*2.33,0)</f>
        <v>4336</v>
      </c>
      <c r="O113" s="57">
        <f t="shared" ref="O113:O114" si="73">ROUNDDOWN(E113*2.56,0)</f>
        <v>4764</v>
      </c>
      <c r="P113" s="57">
        <f t="shared" ref="P113:P114" si="74">ROUNDDOWN(E113*2.81,0)</f>
        <v>5229</v>
      </c>
      <c r="Q113" s="57"/>
    </row>
    <row r="114">
      <c r="A114" s="60" t="s">
        <v>24</v>
      </c>
      <c r="B114" s="26"/>
      <c r="C114" s="65"/>
      <c r="D114" s="57"/>
      <c r="E114" s="75">
        <v>120.0</v>
      </c>
      <c r="F114" s="57">
        <f t="shared" si="64"/>
        <v>132</v>
      </c>
      <c r="G114" s="57">
        <f t="shared" si="65"/>
        <v>145</v>
      </c>
      <c r="H114" s="57">
        <f t="shared" si="66"/>
        <v>159</v>
      </c>
      <c r="I114" s="57">
        <f t="shared" si="67"/>
        <v>175</v>
      </c>
      <c r="J114" s="57">
        <f t="shared" si="68"/>
        <v>192</v>
      </c>
      <c r="K114" s="63">
        <f t="shared" si="69"/>
        <v>211</v>
      </c>
      <c r="L114" s="57">
        <f t="shared" si="70"/>
        <v>231</v>
      </c>
      <c r="M114" s="57">
        <f t="shared" si="71"/>
        <v>254</v>
      </c>
      <c r="N114" s="57">
        <f t="shared" si="72"/>
        <v>279</v>
      </c>
      <c r="O114" s="57">
        <f t="shared" si="73"/>
        <v>307</v>
      </c>
      <c r="P114" s="57">
        <f t="shared" si="74"/>
        <v>337</v>
      </c>
      <c r="Q114" s="57"/>
    </row>
    <row r="115">
      <c r="A115" s="60" t="s">
        <v>428</v>
      </c>
      <c r="B115" s="60" t="s">
        <v>469</v>
      </c>
      <c r="C115" s="57"/>
      <c r="D115" s="57"/>
      <c r="E115" s="57"/>
      <c r="F115" s="57"/>
      <c r="G115" s="57"/>
      <c r="H115" s="57"/>
      <c r="I115" s="57"/>
      <c r="J115" s="57"/>
      <c r="K115" s="63"/>
      <c r="L115" s="57"/>
      <c r="M115" s="57"/>
      <c r="N115" s="57"/>
      <c r="O115" s="57"/>
      <c r="P115" s="57"/>
      <c r="Q115" s="57"/>
    </row>
    <row r="116">
      <c r="A116" s="60" t="s">
        <v>55</v>
      </c>
      <c r="B116" s="60" t="s">
        <v>430</v>
      </c>
      <c r="C116" s="57"/>
      <c r="D116" s="57"/>
      <c r="E116" s="57"/>
      <c r="F116" s="57"/>
      <c r="G116" s="57"/>
      <c r="H116" s="57"/>
      <c r="I116" s="57"/>
      <c r="J116" s="57"/>
      <c r="K116" s="63"/>
      <c r="L116" s="57"/>
      <c r="M116" s="57"/>
      <c r="N116" s="57"/>
      <c r="O116" s="57"/>
      <c r="P116" s="57"/>
      <c r="Q116" s="57"/>
    </row>
    <row r="117">
      <c r="A117" s="60" t="s">
        <v>51</v>
      </c>
      <c r="B117" s="60" t="s">
        <v>470</v>
      </c>
      <c r="C117" s="57"/>
      <c r="D117" s="57"/>
      <c r="E117" s="57"/>
      <c r="F117" s="57"/>
      <c r="G117" s="57"/>
      <c r="H117" s="57"/>
      <c r="I117" s="57"/>
      <c r="J117" s="57"/>
      <c r="K117" s="63"/>
      <c r="L117" s="57"/>
      <c r="M117" s="57"/>
      <c r="N117" s="57"/>
      <c r="O117" s="57"/>
      <c r="P117" s="57"/>
      <c r="Q117" s="57"/>
    </row>
    <row r="118">
      <c r="A118" s="60" t="s">
        <v>49</v>
      </c>
      <c r="B118" s="60" t="s">
        <v>471</v>
      </c>
      <c r="C118" s="57"/>
      <c r="D118" s="57"/>
      <c r="E118" s="57"/>
      <c r="F118" s="57"/>
      <c r="G118" s="57"/>
      <c r="H118" s="57"/>
      <c r="I118" s="57"/>
      <c r="J118" s="57"/>
      <c r="K118" s="63"/>
      <c r="L118" s="57"/>
      <c r="M118" s="57"/>
      <c r="N118" s="57"/>
      <c r="O118" s="57"/>
      <c r="P118" s="57"/>
      <c r="Q118" s="57"/>
    </row>
    <row r="119">
      <c r="A119" s="60" t="s">
        <v>432</v>
      </c>
      <c r="B119" s="60" t="s">
        <v>430</v>
      </c>
      <c r="C119" s="57"/>
      <c r="D119" s="57"/>
      <c r="E119" s="57"/>
      <c r="F119" s="57"/>
      <c r="G119" s="57"/>
      <c r="H119" s="57"/>
      <c r="I119" s="57"/>
      <c r="J119" s="57"/>
      <c r="K119" s="63"/>
      <c r="L119" s="57"/>
      <c r="M119" s="57"/>
      <c r="N119" s="57"/>
      <c r="O119" s="57"/>
      <c r="P119" s="57"/>
      <c r="Q119" s="57"/>
    </row>
    <row r="120">
      <c r="A120" s="60" t="s">
        <v>53</v>
      </c>
      <c r="B120" s="60" t="s">
        <v>458</v>
      </c>
      <c r="C120" s="65"/>
      <c r="D120" s="57"/>
      <c r="E120" s="57"/>
      <c r="F120" s="57"/>
      <c r="G120" s="57"/>
      <c r="H120" s="57"/>
      <c r="I120" s="57"/>
      <c r="J120" s="57"/>
      <c r="K120" s="63"/>
      <c r="L120" s="57"/>
      <c r="M120" s="57"/>
      <c r="N120" s="57"/>
      <c r="O120" s="57"/>
      <c r="P120" s="57"/>
      <c r="Q120" s="57"/>
    </row>
    <row r="121">
      <c r="A121" s="60" t="s">
        <v>50</v>
      </c>
      <c r="B121" s="60" t="s">
        <v>109</v>
      </c>
      <c r="C121" s="65"/>
      <c r="D121" s="57"/>
      <c r="E121" s="57"/>
      <c r="F121" s="57"/>
      <c r="G121" s="57"/>
      <c r="H121" s="57"/>
      <c r="I121" s="57"/>
      <c r="J121" s="57"/>
      <c r="K121" s="63"/>
      <c r="L121" s="57"/>
      <c r="M121" s="57"/>
      <c r="N121" s="57"/>
      <c r="O121" s="57"/>
      <c r="P121" s="57"/>
      <c r="Q121" s="57"/>
    </row>
    <row r="122">
      <c r="A122" s="60" t="s">
        <v>438</v>
      </c>
      <c r="B122" s="60" t="s">
        <v>472</v>
      </c>
      <c r="C122" s="65"/>
      <c r="D122" s="57"/>
      <c r="E122" s="57"/>
      <c r="F122" s="57"/>
      <c r="G122" s="57"/>
      <c r="H122" s="57"/>
      <c r="I122" s="57"/>
      <c r="J122" s="57"/>
      <c r="K122" s="63"/>
      <c r="L122" s="57"/>
      <c r="M122" s="57"/>
      <c r="N122" s="57"/>
      <c r="O122" s="57"/>
      <c r="P122" s="57"/>
      <c r="Q122" s="57"/>
    </row>
    <row r="123">
      <c r="A123" s="60" t="s">
        <v>439</v>
      </c>
      <c r="B123" s="60" t="s">
        <v>473</v>
      </c>
      <c r="C123" s="65"/>
      <c r="D123" s="57"/>
      <c r="E123" s="57"/>
      <c r="F123" s="57"/>
      <c r="G123" s="57"/>
      <c r="H123" s="57"/>
      <c r="I123" s="57"/>
      <c r="J123" s="57"/>
      <c r="K123" s="63"/>
      <c r="L123" s="57"/>
      <c r="M123" s="57"/>
      <c r="N123" s="57"/>
      <c r="O123" s="57"/>
      <c r="P123" s="57"/>
      <c r="Q123" s="57"/>
    </row>
    <row r="124">
      <c r="A124" s="60" t="s">
        <v>441</v>
      </c>
      <c r="B124" s="60">
        <v>18.0</v>
      </c>
      <c r="C124" s="65"/>
      <c r="D124" s="57"/>
      <c r="E124" s="57"/>
      <c r="F124" s="57"/>
      <c r="G124" s="57"/>
      <c r="H124" s="57"/>
      <c r="I124" s="57"/>
      <c r="J124" s="57"/>
      <c r="K124" s="63"/>
      <c r="L124" s="57"/>
      <c r="M124" s="57"/>
      <c r="N124" s="57"/>
      <c r="O124" s="57"/>
      <c r="P124" s="57"/>
      <c r="Q124" s="57"/>
    </row>
    <row r="125">
      <c r="A125" s="60" t="s">
        <v>444</v>
      </c>
      <c r="B125" s="60" t="s">
        <v>445</v>
      </c>
      <c r="C125" s="65"/>
      <c r="D125" s="57"/>
      <c r="E125" s="57"/>
      <c r="F125" s="57"/>
      <c r="G125" s="57"/>
      <c r="H125" s="57"/>
      <c r="I125" s="57"/>
      <c r="J125" s="57"/>
      <c r="K125" s="63"/>
      <c r="L125" s="57"/>
      <c r="M125" s="57"/>
      <c r="N125" s="57"/>
      <c r="O125" s="57"/>
      <c r="P125" s="57"/>
      <c r="Q125" s="57"/>
    </row>
    <row r="126">
      <c r="A126" s="60" t="s">
        <v>446</v>
      </c>
      <c r="B126" s="60" t="s">
        <v>445</v>
      </c>
      <c r="C126" s="65"/>
      <c r="D126" s="57"/>
      <c r="E126" s="57"/>
      <c r="F126" s="57"/>
      <c r="G126" s="57"/>
      <c r="H126" s="57"/>
      <c r="I126" s="57"/>
      <c r="J126" s="57"/>
      <c r="K126" s="63"/>
      <c r="L126" s="57"/>
      <c r="M126" s="57"/>
      <c r="N126" s="57"/>
      <c r="O126" s="57"/>
      <c r="P126" s="57"/>
      <c r="Q126" s="57"/>
    </row>
    <row r="127">
      <c r="A127" s="60" t="s">
        <v>474</v>
      </c>
      <c r="B127" s="60" t="s">
        <v>475</v>
      </c>
      <c r="C127" s="65"/>
      <c r="D127" s="57"/>
      <c r="E127" s="57"/>
      <c r="F127" s="57"/>
      <c r="G127" s="57"/>
      <c r="H127" s="57"/>
      <c r="I127" s="57"/>
      <c r="J127" s="57"/>
      <c r="K127" s="63"/>
      <c r="L127" s="57"/>
      <c r="M127" s="57"/>
      <c r="N127" s="57"/>
      <c r="O127" s="57"/>
      <c r="P127" s="57"/>
      <c r="Q127" s="57"/>
    </row>
    <row r="128">
      <c r="A128" s="60" t="s">
        <v>476</v>
      </c>
      <c r="B128" s="60" t="s">
        <v>450</v>
      </c>
      <c r="C128" s="65"/>
      <c r="D128" s="57"/>
      <c r="E128" s="57"/>
      <c r="F128" s="57"/>
      <c r="G128" s="57"/>
      <c r="H128" s="57"/>
      <c r="I128" s="57"/>
      <c r="J128" s="57"/>
      <c r="K128" s="63"/>
      <c r="L128" s="57"/>
      <c r="M128" s="57"/>
      <c r="N128" s="57"/>
      <c r="O128" s="57"/>
      <c r="P128" s="57"/>
      <c r="Q128" s="57"/>
    </row>
    <row r="129">
      <c r="A129" s="60" t="s">
        <v>477</v>
      </c>
      <c r="B129" s="60" t="s">
        <v>478</v>
      </c>
      <c r="C129" s="65"/>
      <c r="D129" s="57"/>
      <c r="E129" s="57"/>
      <c r="F129" s="57"/>
      <c r="G129" s="57"/>
      <c r="H129" s="57"/>
      <c r="I129" s="57"/>
      <c r="J129" s="57"/>
      <c r="K129" s="63"/>
      <c r="L129" s="57"/>
      <c r="M129" s="57"/>
      <c r="N129" s="57"/>
      <c r="O129" s="57"/>
      <c r="P129" s="57"/>
      <c r="Q129" s="57"/>
    </row>
    <row r="130">
      <c r="A130" s="60" t="s">
        <v>479</v>
      </c>
      <c r="B130" s="60" t="s">
        <v>478</v>
      </c>
      <c r="C130" s="65"/>
      <c r="D130" s="57"/>
      <c r="E130" s="57"/>
      <c r="F130" s="57"/>
      <c r="G130" s="57"/>
      <c r="H130" s="57"/>
      <c r="I130" s="57"/>
      <c r="J130" s="57"/>
      <c r="K130" s="63"/>
      <c r="L130" s="57"/>
      <c r="M130" s="57"/>
      <c r="N130" s="57"/>
      <c r="O130" s="57"/>
      <c r="P130" s="57"/>
      <c r="Q130" s="57"/>
    </row>
    <row r="131">
      <c r="A131" s="76" t="s">
        <v>189</v>
      </c>
      <c r="B131" s="60" t="s">
        <v>480</v>
      </c>
      <c r="C131" s="65"/>
      <c r="D131" s="57"/>
      <c r="E131" s="57"/>
      <c r="F131" s="57"/>
      <c r="G131" s="57"/>
      <c r="H131" s="57"/>
      <c r="I131" s="57"/>
      <c r="J131" s="57"/>
      <c r="K131" s="63"/>
      <c r="L131" s="57"/>
      <c r="M131" s="57"/>
      <c r="N131" s="57"/>
      <c r="O131" s="57"/>
      <c r="P131" s="57"/>
      <c r="Q131" s="57"/>
    </row>
    <row r="132">
      <c r="A132" s="60" t="s">
        <v>38</v>
      </c>
      <c r="B132" s="60"/>
      <c r="C132" s="65"/>
      <c r="D132" s="57"/>
      <c r="E132" s="57"/>
      <c r="F132" s="57"/>
      <c r="G132" s="57"/>
      <c r="H132" s="65">
        <v>207.0</v>
      </c>
      <c r="I132" s="57">
        <f t="shared" ref="I132:I133" si="75">ROUNDDOWN(H132*1.1,0)</f>
        <v>227</v>
      </c>
      <c r="J132" s="57">
        <f t="shared" ref="J132:J133" si="76">ROUNDDOWN(H132*1.21,0)</f>
        <v>250</v>
      </c>
      <c r="K132" s="63">
        <f t="shared" ref="K132:K133" si="77">ROUNDDOWN(H132*1.33,0)</f>
        <v>275</v>
      </c>
      <c r="L132" s="57">
        <f t="shared" ref="L132:L133" si="78">ROUNDDOWN(H132*1.46,0)</f>
        <v>302</v>
      </c>
      <c r="M132" s="57">
        <f t="shared" ref="M132:M133" si="79">ROUNDDOWN(H132*1.6,0)</f>
        <v>331</v>
      </c>
      <c r="N132" s="57">
        <f t="shared" ref="N132:N133" si="80">ROUNDDOWN(H132*1.76,0)</f>
        <v>364</v>
      </c>
      <c r="O132" s="57">
        <f t="shared" ref="O132:O133" si="81">ROUNDDOWN(H132*1.93,0)</f>
        <v>399</v>
      </c>
      <c r="P132" s="57">
        <f t="shared" ref="P132:P133" si="82">ROUNDDOWN(H132*2.12,0)</f>
        <v>438</v>
      </c>
      <c r="Q132" s="57"/>
    </row>
    <row r="133">
      <c r="A133" s="60" t="s">
        <v>24</v>
      </c>
      <c r="B133" s="60"/>
      <c r="C133" s="65"/>
      <c r="D133" s="57"/>
      <c r="E133" s="57"/>
      <c r="F133" s="57"/>
      <c r="G133" s="57"/>
      <c r="H133" s="65">
        <v>245.0</v>
      </c>
      <c r="I133" s="57">
        <f t="shared" si="75"/>
        <v>269</v>
      </c>
      <c r="J133" s="57">
        <f t="shared" si="76"/>
        <v>296</v>
      </c>
      <c r="K133" s="63">
        <f t="shared" si="77"/>
        <v>325</v>
      </c>
      <c r="L133" s="57">
        <f t="shared" si="78"/>
        <v>357</v>
      </c>
      <c r="M133" s="57">
        <f t="shared" si="79"/>
        <v>392</v>
      </c>
      <c r="N133" s="57">
        <f t="shared" si="80"/>
        <v>431</v>
      </c>
      <c r="O133" s="57">
        <f t="shared" si="81"/>
        <v>472</v>
      </c>
      <c r="P133" s="57">
        <f t="shared" si="82"/>
        <v>519</v>
      </c>
      <c r="Q133" s="57"/>
    </row>
    <row r="134">
      <c r="A134" s="60" t="s">
        <v>428</v>
      </c>
      <c r="B134" s="60" t="s">
        <v>481</v>
      </c>
      <c r="C134" s="65"/>
      <c r="D134" s="57"/>
      <c r="E134" s="57"/>
      <c r="F134" s="57"/>
      <c r="G134" s="57"/>
      <c r="H134" s="57"/>
      <c r="I134" s="57"/>
      <c r="J134" s="57"/>
      <c r="K134" s="63"/>
      <c r="L134" s="57"/>
      <c r="M134" s="57"/>
      <c r="N134" s="57"/>
      <c r="O134" s="57"/>
      <c r="P134" s="57"/>
      <c r="Q134" s="57"/>
    </row>
    <row r="135">
      <c r="A135" s="60" t="s">
        <v>55</v>
      </c>
      <c r="B135" s="60" t="s">
        <v>430</v>
      </c>
      <c r="C135" s="65"/>
      <c r="D135" s="57"/>
      <c r="E135" s="57"/>
      <c r="F135" s="57"/>
      <c r="G135" s="57"/>
      <c r="H135" s="57"/>
      <c r="I135" s="57"/>
      <c r="J135" s="57"/>
      <c r="K135" s="63"/>
      <c r="L135" s="57"/>
      <c r="M135" s="57"/>
      <c r="N135" s="57"/>
      <c r="O135" s="57"/>
      <c r="P135" s="57"/>
      <c r="Q135" s="57"/>
    </row>
    <row r="136">
      <c r="A136" s="60" t="s">
        <v>51</v>
      </c>
      <c r="B136" s="60" t="s">
        <v>482</v>
      </c>
      <c r="C136" s="65"/>
      <c r="D136" s="57"/>
      <c r="E136" s="57"/>
      <c r="F136" s="57"/>
      <c r="G136" s="57"/>
      <c r="H136" s="57"/>
      <c r="I136" s="57"/>
      <c r="J136" s="57"/>
      <c r="K136" s="63"/>
      <c r="L136" s="57"/>
      <c r="M136" s="57"/>
      <c r="N136" s="57"/>
      <c r="O136" s="57"/>
      <c r="P136" s="57"/>
      <c r="Q136" s="57"/>
    </row>
    <row r="137">
      <c r="A137" s="60" t="s">
        <v>49</v>
      </c>
      <c r="B137" s="60" t="s">
        <v>452</v>
      </c>
      <c r="C137" s="65"/>
      <c r="D137" s="57"/>
      <c r="E137" s="57"/>
      <c r="F137" s="57"/>
      <c r="G137" s="57"/>
      <c r="H137" s="57"/>
      <c r="I137" s="57"/>
      <c r="J137" s="57"/>
      <c r="K137" s="63"/>
      <c r="L137" s="57"/>
      <c r="M137" s="57"/>
      <c r="N137" s="57"/>
      <c r="O137" s="57"/>
      <c r="P137" s="57"/>
      <c r="Q137" s="57"/>
    </row>
    <row r="138">
      <c r="A138" s="60" t="s">
        <v>432</v>
      </c>
      <c r="B138" s="60" t="s">
        <v>430</v>
      </c>
      <c r="C138" s="65"/>
      <c r="D138" s="57"/>
      <c r="E138" s="57"/>
      <c r="F138" s="57"/>
      <c r="G138" s="57"/>
      <c r="H138" s="57"/>
      <c r="I138" s="57"/>
      <c r="J138" s="57"/>
      <c r="K138" s="63"/>
      <c r="L138" s="57"/>
      <c r="M138" s="57"/>
      <c r="N138" s="57"/>
      <c r="O138" s="57"/>
      <c r="P138" s="57"/>
      <c r="Q138" s="57"/>
    </row>
    <row r="139">
      <c r="A139" s="60" t="s">
        <v>53</v>
      </c>
      <c r="B139" s="60" t="s">
        <v>440</v>
      </c>
      <c r="C139" s="65"/>
      <c r="D139" s="57"/>
      <c r="E139" s="57"/>
      <c r="F139" s="57"/>
      <c r="G139" s="57"/>
      <c r="H139" s="57"/>
      <c r="I139" s="57"/>
      <c r="J139" s="57"/>
      <c r="K139" s="63"/>
      <c r="L139" s="57"/>
      <c r="M139" s="57"/>
      <c r="N139" s="57"/>
      <c r="O139" s="57"/>
      <c r="P139" s="57"/>
      <c r="Q139" s="57"/>
    </row>
    <row r="140">
      <c r="A140" s="60" t="s">
        <v>422</v>
      </c>
      <c r="B140" s="60" t="s">
        <v>434</v>
      </c>
      <c r="C140" s="65"/>
      <c r="D140" s="57"/>
      <c r="E140" s="57"/>
      <c r="F140" s="57"/>
      <c r="G140" s="57"/>
      <c r="H140" s="57"/>
      <c r="I140" s="57"/>
      <c r="J140" s="57"/>
      <c r="K140" s="63"/>
      <c r="L140" s="57"/>
      <c r="M140" s="57"/>
      <c r="N140" s="57"/>
      <c r="O140" s="57"/>
      <c r="P140" s="57"/>
      <c r="Q140" s="57"/>
    </row>
    <row r="141">
      <c r="A141" s="60" t="s">
        <v>483</v>
      </c>
      <c r="B141" s="60" t="s">
        <v>443</v>
      </c>
      <c r="C141" s="65"/>
      <c r="D141" s="57"/>
      <c r="E141" s="57"/>
      <c r="F141" s="57"/>
      <c r="G141" s="57"/>
      <c r="H141" s="57"/>
      <c r="I141" s="57"/>
      <c r="J141" s="57"/>
      <c r="K141" s="63"/>
      <c r="L141" s="57"/>
      <c r="M141" s="57"/>
      <c r="N141" s="57"/>
      <c r="O141" s="57"/>
      <c r="P141" s="57"/>
      <c r="Q141" s="57"/>
    </row>
    <row r="142">
      <c r="A142" s="60" t="s">
        <v>484</v>
      </c>
      <c r="B142" s="60" t="s">
        <v>425</v>
      </c>
      <c r="C142" s="65"/>
      <c r="D142" s="57"/>
      <c r="E142" s="57"/>
      <c r="F142" s="57"/>
      <c r="G142" s="57"/>
      <c r="H142" s="57"/>
      <c r="I142" s="57"/>
      <c r="J142" s="57"/>
      <c r="K142" s="63"/>
      <c r="L142" s="57"/>
      <c r="M142" s="57"/>
      <c r="N142" s="57"/>
      <c r="O142" s="57"/>
      <c r="P142" s="57"/>
      <c r="Q142" s="57"/>
    </row>
    <row r="143">
      <c r="A143" s="60" t="s">
        <v>426</v>
      </c>
      <c r="B143" s="60" t="s">
        <v>485</v>
      </c>
      <c r="C143" s="65"/>
      <c r="D143" s="57"/>
      <c r="E143" s="57"/>
      <c r="F143" s="57"/>
      <c r="G143" s="57"/>
      <c r="H143" s="57"/>
      <c r="I143" s="57"/>
      <c r="J143" s="57"/>
      <c r="K143" s="63"/>
      <c r="L143" s="57"/>
      <c r="M143" s="57"/>
      <c r="N143" s="57"/>
      <c r="O143" s="57"/>
      <c r="P143" s="57"/>
      <c r="Q143" s="57"/>
    </row>
    <row r="144">
      <c r="A144" s="60" t="s">
        <v>54</v>
      </c>
      <c r="B144" s="60" t="s">
        <v>486</v>
      </c>
      <c r="C144" s="65"/>
      <c r="D144" s="57"/>
      <c r="E144" s="57"/>
      <c r="F144" s="57"/>
      <c r="G144" s="57"/>
      <c r="H144" s="57"/>
      <c r="I144" s="57"/>
      <c r="J144" s="57"/>
      <c r="K144" s="63"/>
      <c r="L144" s="57"/>
      <c r="M144" s="57"/>
      <c r="N144" s="57"/>
      <c r="O144" s="57"/>
      <c r="P144" s="57"/>
      <c r="Q144" s="57"/>
    </row>
    <row r="145">
      <c r="A145" s="60" t="s">
        <v>50</v>
      </c>
      <c r="B145" s="60" t="s">
        <v>109</v>
      </c>
      <c r="C145" s="65"/>
      <c r="D145" s="57"/>
      <c r="E145" s="57"/>
      <c r="F145" s="57"/>
      <c r="G145" s="57"/>
      <c r="H145" s="57"/>
      <c r="I145" s="57"/>
      <c r="J145" s="57"/>
      <c r="K145" s="63"/>
      <c r="L145" s="57"/>
      <c r="M145" s="57"/>
      <c r="N145" s="57"/>
      <c r="O145" s="57"/>
      <c r="P145" s="57"/>
      <c r="Q145" s="57"/>
    </row>
    <row r="146">
      <c r="A146" s="60" t="s">
        <v>438</v>
      </c>
      <c r="B146" s="60" t="s">
        <v>436</v>
      </c>
      <c r="C146" s="65"/>
      <c r="D146" s="57"/>
      <c r="E146" s="57"/>
      <c r="F146" s="57"/>
      <c r="G146" s="57"/>
      <c r="H146" s="57"/>
      <c r="I146" s="57"/>
      <c r="J146" s="57"/>
      <c r="K146" s="63"/>
      <c r="L146" s="57"/>
      <c r="M146" s="57"/>
      <c r="N146" s="57"/>
      <c r="O146" s="57"/>
      <c r="P146" s="57"/>
      <c r="Q146" s="57"/>
    </row>
    <row r="147">
      <c r="A147" s="65" t="s">
        <v>439</v>
      </c>
      <c r="B147" s="60" t="s">
        <v>487</v>
      </c>
      <c r="C147" s="65"/>
      <c r="D147" s="57"/>
      <c r="E147" s="57"/>
      <c r="F147" s="57"/>
      <c r="G147" s="57"/>
      <c r="H147" s="57"/>
      <c r="I147" s="57"/>
      <c r="J147" s="57"/>
      <c r="K147" s="63"/>
      <c r="L147" s="57"/>
      <c r="M147" s="57"/>
      <c r="N147" s="57"/>
      <c r="O147" s="57"/>
      <c r="P147" s="57"/>
      <c r="Q147" s="57"/>
    </row>
    <row r="148">
      <c r="A148" s="60" t="s">
        <v>441</v>
      </c>
      <c r="B148" s="60">
        <v>4.0</v>
      </c>
      <c r="C148" s="65"/>
      <c r="D148" s="57"/>
      <c r="E148" s="57"/>
      <c r="F148" s="57"/>
      <c r="G148" s="57"/>
      <c r="H148" s="57"/>
      <c r="I148" s="57"/>
      <c r="J148" s="57"/>
      <c r="K148" s="63"/>
      <c r="L148" s="57"/>
      <c r="M148" s="57"/>
      <c r="N148" s="57"/>
      <c r="O148" s="57"/>
      <c r="P148" s="57"/>
      <c r="Q148" s="57"/>
    </row>
    <row r="149">
      <c r="A149" s="60" t="s">
        <v>488</v>
      </c>
      <c r="B149" s="60" t="s">
        <v>436</v>
      </c>
      <c r="C149" s="65"/>
      <c r="D149" s="57"/>
      <c r="E149" s="57"/>
      <c r="F149" s="57"/>
      <c r="G149" s="57"/>
      <c r="H149" s="57"/>
      <c r="I149" s="57"/>
      <c r="J149" s="57"/>
      <c r="K149" s="63"/>
      <c r="L149" s="57"/>
      <c r="M149" s="57"/>
      <c r="N149" s="57"/>
      <c r="O149" s="57"/>
      <c r="P149" s="57"/>
      <c r="Q149" s="57"/>
    </row>
    <row r="150">
      <c r="A150" s="60" t="s">
        <v>447</v>
      </c>
      <c r="B150" s="60" t="s">
        <v>448</v>
      </c>
      <c r="C150" s="65"/>
      <c r="D150" s="57"/>
      <c r="E150" s="57"/>
      <c r="F150" s="57"/>
      <c r="G150" s="57"/>
      <c r="H150" s="57"/>
      <c r="I150" s="57"/>
      <c r="J150" s="57"/>
      <c r="K150" s="63"/>
      <c r="L150" s="57"/>
      <c r="M150" s="57"/>
      <c r="N150" s="57"/>
      <c r="O150" s="57"/>
      <c r="P150" s="57"/>
      <c r="Q150" s="57"/>
    </row>
    <row r="151">
      <c r="A151" s="60" t="s">
        <v>57</v>
      </c>
      <c r="B151" s="60">
        <v>2.0</v>
      </c>
      <c r="C151" s="65"/>
      <c r="D151" s="57"/>
      <c r="E151" s="57"/>
      <c r="F151" s="57"/>
      <c r="G151" s="57"/>
      <c r="H151" s="57"/>
      <c r="I151" s="57"/>
      <c r="J151" s="57"/>
      <c r="K151" s="63"/>
      <c r="L151" s="57"/>
      <c r="M151" s="57"/>
      <c r="N151" s="57"/>
      <c r="O151" s="57"/>
      <c r="P151" s="57"/>
      <c r="Q151" s="57"/>
    </row>
    <row r="152">
      <c r="A152" s="60" t="s">
        <v>489</v>
      </c>
      <c r="B152" s="60" t="s">
        <v>473</v>
      </c>
      <c r="C152" s="65"/>
      <c r="D152" s="57"/>
      <c r="E152" s="57"/>
      <c r="F152" s="57"/>
      <c r="G152" s="57"/>
      <c r="H152" s="57"/>
      <c r="I152" s="57"/>
      <c r="J152" s="57"/>
      <c r="K152" s="63"/>
      <c r="L152" s="57"/>
      <c r="M152" s="57"/>
      <c r="N152" s="57"/>
      <c r="O152" s="57"/>
      <c r="P152" s="57"/>
      <c r="Q152" s="57"/>
    </row>
    <row r="153">
      <c r="A153" s="60" t="s">
        <v>449</v>
      </c>
      <c r="B153" s="60" t="s">
        <v>450</v>
      </c>
      <c r="C153" s="65"/>
      <c r="D153" s="57"/>
      <c r="E153" s="57"/>
      <c r="F153" s="57"/>
      <c r="G153" s="57"/>
      <c r="H153" s="57"/>
      <c r="I153" s="57"/>
      <c r="J153" s="57"/>
      <c r="K153" s="63"/>
      <c r="L153" s="57"/>
      <c r="M153" s="57"/>
      <c r="N153" s="57"/>
      <c r="O153" s="57"/>
      <c r="P153" s="57"/>
      <c r="Q153" s="57"/>
    </row>
    <row r="154">
      <c r="A154" s="76" t="s">
        <v>214</v>
      </c>
      <c r="B154" s="60" t="s">
        <v>468</v>
      </c>
      <c r="C154" s="57"/>
      <c r="D154" s="57"/>
      <c r="E154" s="57"/>
      <c r="F154" s="57"/>
      <c r="G154" s="57"/>
      <c r="H154" s="57"/>
      <c r="I154" s="57"/>
      <c r="J154" s="57"/>
      <c r="K154" s="63"/>
      <c r="L154" s="57"/>
      <c r="M154" s="57"/>
      <c r="N154" s="57"/>
      <c r="O154" s="57"/>
      <c r="P154" s="57"/>
      <c r="Q154" s="57"/>
    </row>
    <row r="155">
      <c r="A155" s="69" t="s">
        <v>38</v>
      </c>
      <c r="B155" s="70"/>
      <c r="C155" s="57"/>
      <c r="D155" s="72"/>
      <c r="E155" s="57"/>
      <c r="F155" s="72"/>
      <c r="G155" s="72"/>
      <c r="H155" s="71">
        <v>1255.0</v>
      </c>
      <c r="I155" s="57">
        <f t="shared" ref="I155:I157" si="83">ROUNDDOWN(H155*1.1,0)</f>
        <v>1380</v>
      </c>
      <c r="J155" s="57">
        <f t="shared" ref="J155:J157" si="84">ROUNDDOWN(H155*1.21,0)</f>
        <v>1518</v>
      </c>
      <c r="K155" s="63">
        <f t="shared" ref="K155:K157" si="85">ROUNDDOWN(H155*1.33,0)</f>
        <v>1669</v>
      </c>
      <c r="L155" s="57">
        <f t="shared" ref="L155:L157" si="86">ROUNDDOWN(H155*1.46,0)</f>
        <v>1832</v>
      </c>
      <c r="M155" s="57">
        <f t="shared" ref="M155:M157" si="87">ROUNDDOWN(H155*1.6,0)</f>
        <v>2008</v>
      </c>
      <c r="N155" s="57">
        <f t="shared" ref="N155:N157" si="88">ROUNDDOWN(H155*1.76,0)</f>
        <v>2208</v>
      </c>
      <c r="O155" s="57">
        <f t="shared" ref="O155:O157" si="89">ROUNDDOWN(H155*1.93,0)</f>
        <v>2422</v>
      </c>
      <c r="P155" s="57">
        <f t="shared" ref="P155:P157" si="90">ROUNDDOWN(H155*2.12,0)</f>
        <v>2660</v>
      </c>
      <c r="Q155" s="72"/>
    </row>
    <row r="156">
      <c r="A156" s="69" t="s">
        <v>24</v>
      </c>
      <c r="B156" s="70"/>
      <c r="C156" s="57"/>
      <c r="D156" s="72"/>
      <c r="E156" s="57"/>
      <c r="F156" s="72"/>
      <c r="G156" s="72"/>
      <c r="H156" s="77">
        <v>245.0</v>
      </c>
      <c r="I156" s="57">
        <f t="shared" si="83"/>
        <v>269</v>
      </c>
      <c r="J156" s="57">
        <f t="shared" si="84"/>
        <v>296</v>
      </c>
      <c r="K156" s="63">
        <f t="shared" si="85"/>
        <v>325</v>
      </c>
      <c r="L156" s="57">
        <f t="shared" si="86"/>
        <v>357</v>
      </c>
      <c r="M156" s="57">
        <f t="shared" si="87"/>
        <v>392</v>
      </c>
      <c r="N156" s="57">
        <f t="shared" si="88"/>
        <v>431</v>
      </c>
      <c r="O156" s="57">
        <f t="shared" si="89"/>
        <v>472</v>
      </c>
      <c r="P156" s="57">
        <f t="shared" si="90"/>
        <v>519</v>
      </c>
      <c r="Q156" s="72"/>
    </row>
    <row r="157">
      <c r="A157" s="69" t="s">
        <v>27</v>
      </c>
      <c r="B157" s="70"/>
      <c r="C157" s="57"/>
      <c r="D157" s="72"/>
      <c r="E157" s="57"/>
      <c r="F157" s="72"/>
      <c r="G157" s="72"/>
      <c r="H157" s="77">
        <v>490.0</v>
      </c>
      <c r="I157" s="57">
        <f t="shared" si="83"/>
        <v>539</v>
      </c>
      <c r="J157" s="57">
        <f t="shared" si="84"/>
        <v>592</v>
      </c>
      <c r="K157" s="63">
        <f t="shared" si="85"/>
        <v>651</v>
      </c>
      <c r="L157" s="57">
        <f t="shared" si="86"/>
        <v>715</v>
      </c>
      <c r="M157" s="57">
        <f t="shared" si="87"/>
        <v>784</v>
      </c>
      <c r="N157" s="57">
        <f t="shared" si="88"/>
        <v>862</v>
      </c>
      <c r="O157" s="57">
        <f t="shared" si="89"/>
        <v>945</v>
      </c>
      <c r="P157" s="57">
        <f t="shared" si="90"/>
        <v>1038</v>
      </c>
      <c r="Q157" s="72"/>
    </row>
    <row r="158">
      <c r="A158" s="69" t="s">
        <v>428</v>
      </c>
      <c r="B158" s="69" t="s">
        <v>429</v>
      </c>
      <c r="C158" s="72"/>
      <c r="D158" s="72"/>
      <c r="E158" s="72"/>
      <c r="F158" s="72"/>
      <c r="G158" s="72"/>
      <c r="H158" s="72"/>
      <c r="I158" s="72"/>
      <c r="J158" s="72"/>
      <c r="K158" s="73"/>
      <c r="L158" s="72"/>
      <c r="M158" s="72"/>
      <c r="N158" s="72"/>
      <c r="O158" s="72"/>
      <c r="P158" s="72"/>
      <c r="Q158" s="72"/>
    </row>
    <row r="159">
      <c r="A159" s="69" t="s">
        <v>55</v>
      </c>
      <c r="B159" s="69" t="s">
        <v>430</v>
      </c>
      <c r="C159" s="72"/>
      <c r="D159" s="72"/>
      <c r="E159" s="72"/>
      <c r="F159" s="72"/>
      <c r="G159" s="72"/>
      <c r="H159" s="72"/>
      <c r="I159" s="72"/>
      <c r="J159" s="72"/>
      <c r="K159" s="73"/>
      <c r="L159" s="72"/>
      <c r="M159" s="72"/>
      <c r="N159" s="72"/>
      <c r="O159" s="72"/>
      <c r="P159" s="72"/>
      <c r="Q159" s="72"/>
    </row>
    <row r="160">
      <c r="A160" s="69" t="s">
        <v>490</v>
      </c>
      <c r="B160" s="69" t="s">
        <v>491</v>
      </c>
      <c r="C160" s="72"/>
      <c r="D160" s="72"/>
      <c r="E160" s="72"/>
      <c r="F160" s="72"/>
      <c r="G160" s="72"/>
      <c r="H160" s="72"/>
      <c r="I160" s="72"/>
      <c r="J160" s="72"/>
      <c r="K160" s="73"/>
      <c r="L160" s="72"/>
      <c r="M160" s="72"/>
      <c r="N160" s="72"/>
      <c r="O160" s="72"/>
      <c r="P160" s="72"/>
      <c r="Q160" s="72"/>
    </row>
    <row r="161">
      <c r="A161" s="69" t="s">
        <v>51</v>
      </c>
      <c r="B161" s="69" t="s">
        <v>451</v>
      </c>
      <c r="C161" s="72"/>
      <c r="D161" s="72"/>
      <c r="E161" s="72"/>
      <c r="F161" s="72"/>
      <c r="G161" s="72"/>
      <c r="H161" s="72"/>
      <c r="I161" s="72"/>
      <c r="J161" s="72"/>
      <c r="K161" s="73"/>
      <c r="L161" s="72"/>
      <c r="M161" s="72"/>
      <c r="N161" s="72"/>
      <c r="O161" s="72"/>
      <c r="P161" s="72"/>
      <c r="Q161" s="72"/>
    </row>
    <row r="162">
      <c r="A162" s="69" t="s">
        <v>49</v>
      </c>
      <c r="B162" s="69" t="s">
        <v>492</v>
      </c>
      <c r="C162" s="72"/>
      <c r="D162" s="72"/>
      <c r="E162" s="72"/>
      <c r="F162" s="72"/>
      <c r="G162" s="72"/>
      <c r="H162" s="72"/>
      <c r="I162" s="72"/>
      <c r="J162" s="72"/>
      <c r="K162" s="73"/>
      <c r="L162" s="72"/>
      <c r="M162" s="72"/>
      <c r="N162" s="72"/>
      <c r="O162" s="72"/>
      <c r="P162" s="72"/>
      <c r="Q162" s="72"/>
    </row>
    <row r="163">
      <c r="A163" s="69" t="s">
        <v>432</v>
      </c>
      <c r="B163" s="69" t="s">
        <v>493</v>
      </c>
      <c r="C163" s="72"/>
      <c r="D163" s="72"/>
      <c r="E163" s="72"/>
      <c r="F163" s="72"/>
      <c r="G163" s="72"/>
      <c r="H163" s="72"/>
      <c r="I163" s="72"/>
      <c r="J163" s="72"/>
      <c r="K163" s="73"/>
      <c r="L163" s="72"/>
      <c r="M163" s="72"/>
      <c r="N163" s="72"/>
      <c r="O163" s="72"/>
      <c r="P163" s="72"/>
      <c r="Q163" s="72"/>
    </row>
    <row r="164">
      <c r="A164" s="69" t="s">
        <v>53</v>
      </c>
      <c r="B164" s="69" t="s">
        <v>437</v>
      </c>
      <c r="C164" s="72"/>
      <c r="D164" s="72"/>
      <c r="E164" s="72"/>
      <c r="F164" s="72"/>
      <c r="G164" s="72"/>
      <c r="H164" s="72"/>
      <c r="I164" s="72"/>
      <c r="J164" s="72"/>
      <c r="K164" s="73"/>
      <c r="L164" s="72"/>
      <c r="M164" s="72"/>
      <c r="N164" s="72"/>
      <c r="O164" s="72"/>
      <c r="P164" s="72"/>
      <c r="Q164" s="72"/>
    </row>
    <row r="165">
      <c r="A165" s="69" t="s">
        <v>50</v>
      </c>
      <c r="B165" s="69" t="s">
        <v>98</v>
      </c>
      <c r="C165" s="72"/>
      <c r="D165" s="72"/>
      <c r="E165" s="72"/>
      <c r="F165" s="72"/>
      <c r="G165" s="72"/>
      <c r="H165" s="72"/>
      <c r="I165" s="72"/>
      <c r="J165" s="72"/>
      <c r="K165" s="73"/>
      <c r="L165" s="72"/>
      <c r="M165" s="72"/>
      <c r="N165" s="72"/>
      <c r="O165" s="72"/>
      <c r="P165" s="72"/>
      <c r="Q165" s="72"/>
    </row>
    <row r="166">
      <c r="A166" s="69" t="s">
        <v>438</v>
      </c>
      <c r="B166" s="69" t="s">
        <v>472</v>
      </c>
      <c r="C166" s="72"/>
      <c r="D166" s="72"/>
      <c r="E166" s="72"/>
      <c r="F166" s="72"/>
      <c r="G166" s="72"/>
      <c r="H166" s="72"/>
      <c r="I166" s="72"/>
      <c r="J166" s="72"/>
      <c r="K166" s="73"/>
      <c r="L166" s="72"/>
      <c r="M166" s="72"/>
      <c r="N166" s="72"/>
      <c r="O166" s="72"/>
      <c r="P166" s="72"/>
      <c r="Q166" s="72"/>
    </row>
    <row r="167">
      <c r="A167" s="69" t="s">
        <v>439</v>
      </c>
      <c r="B167" s="69" t="s">
        <v>494</v>
      </c>
      <c r="C167" s="72"/>
      <c r="D167" s="72"/>
      <c r="E167" s="72"/>
      <c r="F167" s="72"/>
      <c r="G167" s="72"/>
      <c r="H167" s="72"/>
      <c r="I167" s="72"/>
      <c r="J167" s="72"/>
      <c r="K167" s="73"/>
      <c r="L167" s="72"/>
      <c r="M167" s="72"/>
      <c r="N167" s="72"/>
      <c r="O167" s="72"/>
      <c r="P167" s="72"/>
      <c r="Q167" s="72"/>
    </row>
    <row r="168">
      <c r="A168" s="69" t="s">
        <v>441</v>
      </c>
      <c r="B168" s="69">
        <v>6.0</v>
      </c>
      <c r="C168" s="72"/>
      <c r="D168" s="72"/>
      <c r="E168" s="72"/>
      <c r="F168" s="72"/>
      <c r="G168" s="72"/>
      <c r="H168" s="72"/>
      <c r="I168" s="72"/>
      <c r="J168" s="72"/>
      <c r="K168" s="73"/>
      <c r="L168" s="72"/>
      <c r="M168" s="72"/>
      <c r="N168" s="72"/>
      <c r="O168" s="72"/>
      <c r="P168" s="72"/>
      <c r="Q168" s="72"/>
    </row>
    <row r="169">
      <c r="A169" s="69" t="s">
        <v>495</v>
      </c>
      <c r="B169" s="69" t="s">
        <v>482</v>
      </c>
      <c r="C169" s="72"/>
      <c r="D169" s="72"/>
      <c r="E169" s="72"/>
      <c r="F169" s="72"/>
      <c r="G169" s="72"/>
      <c r="H169" s="72"/>
      <c r="I169" s="72"/>
      <c r="J169" s="72"/>
      <c r="K169" s="73"/>
      <c r="L169" s="72"/>
      <c r="M169" s="72"/>
      <c r="N169" s="72"/>
      <c r="O169" s="72"/>
      <c r="P169" s="72"/>
      <c r="Q169" s="72"/>
    </row>
    <row r="170">
      <c r="A170" s="76" t="s">
        <v>130</v>
      </c>
      <c r="B170" s="60" t="s">
        <v>459</v>
      </c>
      <c r="C170" s="57"/>
      <c r="D170" s="57"/>
      <c r="E170" s="57"/>
      <c r="F170" s="57"/>
      <c r="G170" s="57"/>
      <c r="H170" s="57"/>
      <c r="I170" s="57"/>
      <c r="J170" s="57"/>
      <c r="K170" s="63"/>
      <c r="L170" s="57"/>
      <c r="M170" s="57"/>
      <c r="N170" s="57"/>
      <c r="O170" s="57"/>
      <c r="P170" s="57"/>
      <c r="Q170" s="57"/>
    </row>
    <row r="171">
      <c r="A171" s="69" t="s">
        <v>38</v>
      </c>
      <c r="B171" s="26"/>
      <c r="C171" s="57"/>
      <c r="D171" s="57"/>
      <c r="E171" s="57"/>
      <c r="F171" s="57"/>
      <c r="G171" s="57"/>
      <c r="H171" s="65">
        <v>720.0</v>
      </c>
      <c r="I171" s="57">
        <f t="shared" ref="I171:I172" si="91">ROUNDDOWN(H171*1.1,0)</f>
        <v>792</v>
      </c>
      <c r="J171" s="57">
        <f t="shared" ref="J171:J172" si="92">ROUNDDOWN(H171*1.21,0)</f>
        <v>871</v>
      </c>
      <c r="K171" s="63">
        <f t="shared" ref="K171:K172" si="93">ROUNDDOWN(H171*1.33,0)</f>
        <v>957</v>
      </c>
      <c r="L171" s="57">
        <f t="shared" ref="L171:L172" si="94">ROUNDDOWN(H171*1.46,0)</f>
        <v>1051</v>
      </c>
      <c r="M171" s="57">
        <f t="shared" ref="M171:M172" si="95">ROUNDDOWN(H171*1.6,0)</f>
        <v>1152</v>
      </c>
      <c r="N171" s="57">
        <f t="shared" ref="N171:N172" si="96">ROUNDDOWN(H171*1.76,0)</f>
        <v>1267</v>
      </c>
      <c r="O171" s="57">
        <f t="shared" ref="O171:O172" si="97">ROUNDDOWN(H171*1.93,0)</f>
        <v>1389</v>
      </c>
      <c r="P171" s="57">
        <f t="shared" ref="P171:P172" si="98">ROUNDDOWN(H171*2.12,0)</f>
        <v>1526</v>
      </c>
      <c r="Q171" s="57"/>
    </row>
    <row r="172">
      <c r="A172" s="69" t="s">
        <v>24</v>
      </c>
      <c r="B172" s="26"/>
      <c r="C172" s="57"/>
      <c r="D172" s="57"/>
      <c r="E172" s="57"/>
      <c r="F172" s="57"/>
      <c r="G172" s="57"/>
      <c r="H172" s="65">
        <v>100.0</v>
      </c>
      <c r="I172" s="57">
        <f t="shared" si="91"/>
        <v>110</v>
      </c>
      <c r="J172" s="57">
        <f t="shared" si="92"/>
        <v>121</v>
      </c>
      <c r="K172" s="63">
        <f t="shared" si="93"/>
        <v>133</v>
      </c>
      <c r="L172" s="57">
        <f t="shared" si="94"/>
        <v>146</v>
      </c>
      <c r="M172" s="57">
        <f t="shared" si="95"/>
        <v>160</v>
      </c>
      <c r="N172" s="57">
        <f t="shared" si="96"/>
        <v>176</v>
      </c>
      <c r="O172" s="57">
        <f t="shared" si="97"/>
        <v>193</v>
      </c>
      <c r="P172" s="57">
        <f t="shared" si="98"/>
        <v>212</v>
      </c>
      <c r="Q172" s="57"/>
    </row>
    <row r="173">
      <c r="A173" s="69" t="s">
        <v>428</v>
      </c>
      <c r="B173" s="60" t="s">
        <v>429</v>
      </c>
      <c r="C173" s="57"/>
      <c r="D173" s="57"/>
      <c r="E173" s="57"/>
      <c r="F173" s="57"/>
      <c r="G173" s="57"/>
      <c r="H173" s="57"/>
      <c r="I173" s="57"/>
      <c r="J173" s="57"/>
      <c r="K173" s="63"/>
      <c r="L173" s="57"/>
      <c r="M173" s="57"/>
      <c r="N173" s="57"/>
      <c r="O173" s="57"/>
      <c r="P173" s="57"/>
      <c r="Q173" s="57"/>
    </row>
    <row r="174">
      <c r="A174" s="69" t="s">
        <v>55</v>
      </c>
      <c r="B174" s="60" t="s">
        <v>430</v>
      </c>
      <c r="C174" s="65"/>
      <c r="D174" s="57"/>
      <c r="E174" s="57"/>
      <c r="F174" s="57"/>
      <c r="G174" s="57"/>
      <c r="H174" s="57"/>
      <c r="I174" s="57"/>
      <c r="J174" s="57"/>
      <c r="K174" s="63"/>
      <c r="L174" s="57"/>
      <c r="M174" s="57"/>
      <c r="N174" s="57"/>
      <c r="O174" s="57"/>
      <c r="P174" s="57"/>
      <c r="Q174" s="57"/>
    </row>
    <row r="175">
      <c r="A175" s="69" t="s">
        <v>51</v>
      </c>
      <c r="B175" s="60" t="s">
        <v>431</v>
      </c>
      <c r="C175" s="57"/>
      <c r="D175" s="57"/>
      <c r="E175" s="57"/>
      <c r="F175" s="57"/>
      <c r="G175" s="57"/>
      <c r="H175" s="57"/>
      <c r="I175" s="57"/>
      <c r="J175" s="57"/>
      <c r="K175" s="63"/>
      <c r="L175" s="57"/>
      <c r="M175" s="57"/>
      <c r="N175" s="57"/>
      <c r="O175" s="57"/>
      <c r="P175" s="57"/>
      <c r="Q175" s="57"/>
    </row>
    <row r="176">
      <c r="A176" s="69" t="s">
        <v>49</v>
      </c>
      <c r="B176" s="60" t="s">
        <v>471</v>
      </c>
      <c r="C176" s="57"/>
      <c r="D176" s="57"/>
      <c r="E176" s="57"/>
      <c r="F176" s="57"/>
      <c r="G176" s="57"/>
      <c r="H176" s="57"/>
      <c r="I176" s="57"/>
      <c r="J176" s="57"/>
      <c r="K176" s="63"/>
      <c r="L176" s="57"/>
      <c r="M176" s="57"/>
      <c r="N176" s="57"/>
      <c r="O176" s="57"/>
      <c r="P176" s="57"/>
      <c r="Q176" s="57"/>
    </row>
    <row r="177">
      <c r="A177" s="69" t="s">
        <v>432</v>
      </c>
      <c r="B177" s="60" t="s">
        <v>452</v>
      </c>
      <c r="C177" s="57"/>
      <c r="D177" s="57"/>
      <c r="E177" s="57"/>
      <c r="F177" s="57"/>
      <c r="G177" s="57"/>
      <c r="H177" s="57"/>
      <c r="I177" s="57"/>
      <c r="J177" s="57"/>
      <c r="K177" s="63"/>
      <c r="L177" s="57"/>
      <c r="M177" s="57"/>
      <c r="N177" s="57"/>
      <c r="O177" s="57"/>
      <c r="P177" s="57"/>
      <c r="Q177" s="57"/>
    </row>
    <row r="178">
      <c r="A178" s="69" t="s">
        <v>422</v>
      </c>
      <c r="B178" s="60" t="s">
        <v>496</v>
      </c>
      <c r="C178" s="57"/>
      <c r="D178" s="57"/>
      <c r="E178" s="57"/>
      <c r="F178" s="57"/>
      <c r="G178" s="57"/>
      <c r="H178" s="57"/>
      <c r="I178" s="57"/>
      <c r="J178" s="57"/>
      <c r="K178" s="63"/>
      <c r="L178" s="57"/>
      <c r="M178" s="57"/>
      <c r="N178" s="57"/>
      <c r="O178" s="57"/>
      <c r="P178" s="57"/>
      <c r="Q178" s="57"/>
    </row>
    <row r="179">
      <c r="A179" s="69" t="s">
        <v>435</v>
      </c>
      <c r="B179" s="60" t="s">
        <v>436</v>
      </c>
      <c r="C179" s="57"/>
      <c r="D179" s="57"/>
      <c r="E179" s="57"/>
      <c r="F179" s="57"/>
      <c r="G179" s="57"/>
      <c r="H179" s="57"/>
      <c r="I179" s="57"/>
      <c r="J179" s="57"/>
      <c r="K179" s="63"/>
      <c r="L179" s="57"/>
      <c r="M179" s="57"/>
      <c r="N179" s="57"/>
      <c r="O179" s="57"/>
      <c r="P179" s="57"/>
      <c r="Q179" s="57"/>
    </row>
    <row r="180">
      <c r="A180" s="69" t="s">
        <v>483</v>
      </c>
      <c r="B180" s="60" t="s">
        <v>458</v>
      </c>
      <c r="C180" s="57"/>
      <c r="D180" s="57"/>
      <c r="E180" s="57"/>
      <c r="F180" s="57"/>
      <c r="G180" s="57"/>
      <c r="H180" s="57"/>
      <c r="I180" s="57"/>
      <c r="J180" s="57"/>
      <c r="K180" s="63"/>
      <c r="L180" s="57"/>
      <c r="M180" s="57"/>
      <c r="N180" s="57"/>
      <c r="O180" s="57"/>
      <c r="P180" s="57"/>
      <c r="Q180" s="57"/>
    </row>
    <row r="181">
      <c r="A181" s="69" t="s">
        <v>426</v>
      </c>
      <c r="B181" s="60" t="s">
        <v>497</v>
      </c>
      <c r="C181" s="57"/>
      <c r="D181" s="57"/>
      <c r="E181" s="57"/>
      <c r="F181" s="57"/>
      <c r="G181" s="57"/>
      <c r="H181" s="57"/>
      <c r="I181" s="57"/>
      <c r="J181" s="57"/>
      <c r="K181" s="63"/>
      <c r="L181" s="57"/>
      <c r="M181" s="57"/>
      <c r="N181" s="57"/>
      <c r="O181" s="57"/>
      <c r="P181" s="57"/>
      <c r="Q181" s="57"/>
    </row>
    <row r="182">
      <c r="A182" s="69" t="s">
        <v>53</v>
      </c>
      <c r="B182" s="60" t="s">
        <v>498</v>
      </c>
      <c r="C182" s="57"/>
      <c r="D182" s="57"/>
      <c r="E182" s="57"/>
      <c r="F182" s="57"/>
      <c r="G182" s="57"/>
      <c r="H182" s="57"/>
      <c r="I182" s="57"/>
      <c r="J182" s="57"/>
      <c r="K182" s="63"/>
      <c r="L182" s="57"/>
      <c r="M182" s="57"/>
      <c r="N182" s="57"/>
      <c r="O182" s="57"/>
      <c r="P182" s="57"/>
      <c r="Q182" s="57"/>
    </row>
    <row r="183">
      <c r="A183" s="69" t="s">
        <v>50</v>
      </c>
      <c r="B183" s="60" t="s">
        <v>425</v>
      </c>
      <c r="C183" s="57"/>
      <c r="D183" s="57"/>
      <c r="E183" s="57"/>
      <c r="F183" s="57"/>
      <c r="G183" s="57"/>
      <c r="H183" s="57"/>
      <c r="I183" s="57"/>
      <c r="J183" s="57"/>
      <c r="K183" s="63"/>
      <c r="L183" s="57"/>
      <c r="M183" s="57"/>
      <c r="N183" s="57"/>
      <c r="O183" s="57"/>
      <c r="P183" s="57"/>
      <c r="Q183" s="57"/>
    </row>
    <row r="184">
      <c r="A184" s="69" t="s">
        <v>438</v>
      </c>
      <c r="B184" s="60" t="s">
        <v>436</v>
      </c>
      <c r="C184" s="57"/>
      <c r="D184" s="57"/>
      <c r="E184" s="57"/>
      <c r="F184" s="57"/>
      <c r="G184" s="57"/>
      <c r="H184" s="57"/>
      <c r="I184" s="57"/>
      <c r="J184" s="57"/>
      <c r="K184" s="63"/>
      <c r="L184" s="57"/>
      <c r="M184" s="57"/>
      <c r="N184" s="57"/>
      <c r="O184" s="57"/>
      <c r="P184" s="57"/>
      <c r="Q184" s="57"/>
    </row>
    <row r="185">
      <c r="A185" s="69" t="s">
        <v>439</v>
      </c>
      <c r="B185" s="60" t="s">
        <v>440</v>
      </c>
      <c r="C185" s="57"/>
      <c r="D185" s="57"/>
      <c r="E185" s="57"/>
      <c r="F185" s="57"/>
      <c r="G185" s="57"/>
      <c r="H185" s="57"/>
      <c r="I185" s="57"/>
      <c r="J185" s="57"/>
      <c r="K185" s="63"/>
      <c r="L185" s="57"/>
      <c r="M185" s="57"/>
      <c r="N185" s="57"/>
      <c r="O185" s="57"/>
      <c r="P185" s="57"/>
      <c r="Q185" s="57"/>
    </row>
    <row r="186">
      <c r="A186" s="69" t="s">
        <v>441</v>
      </c>
      <c r="B186" s="60">
        <v>5.0</v>
      </c>
      <c r="C186" s="57"/>
      <c r="D186" s="57"/>
      <c r="E186" s="57"/>
      <c r="F186" s="57"/>
      <c r="G186" s="57"/>
      <c r="H186" s="57"/>
      <c r="I186" s="57"/>
      <c r="J186" s="57"/>
      <c r="K186" s="63"/>
      <c r="L186" s="57"/>
      <c r="M186" s="57"/>
      <c r="N186" s="57"/>
      <c r="O186" s="57"/>
      <c r="P186" s="57"/>
      <c r="Q186" s="57"/>
    </row>
    <row r="187">
      <c r="A187" s="69" t="s">
        <v>442</v>
      </c>
      <c r="B187" s="60" t="s">
        <v>499</v>
      </c>
      <c r="C187" s="57"/>
      <c r="D187" s="57"/>
      <c r="E187" s="57"/>
      <c r="F187" s="57"/>
      <c r="G187" s="57"/>
      <c r="H187" s="57"/>
      <c r="I187" s="57"/>
      <c r="J187" s="57"/>
      <c r="K187" s="63"/>
      <c r="L187" s="57"/>
      <c r="M187" s="57"/>
      <c r="N187" s="57"/>
      <c r="O187" s="57"/>
      <c r="P187" s="57"/>
      <c r="Q187" s="57"/>
    </row>
    <row r="188">
      <c r="A188" s="69" t="s">
        <v>444</v>
      </c>
      <c r="B188" s="60" t="s">
        <v>440</v>
      </c>
      <c r="C188" s="57"/>
      <c r="D188" s="57"/>
      <c r="E188" s="57"/>
      <c r="F188" s="57"/>
      <c r="G188" s="57"/>
      <c r="H188" s="57"/>
      <c r="I188" s="57"/>
      <c r="J188" s="57"/>
      <c r="K188" s="63"/>
      <c r="L188" s="57"/>
      <c r="M188" s="57"/>
      <c r="N188" s="57"/>
      <c r="O188" s="57"/>
      <c r="P188" s="57"/>
      <c r="Q188" s="57"/>
    </row>
    <row r="189">
      <c r="A189" s="69" t="s">
        <v>446</v>
      </c>
      <c r="B189" s="60" t="s">
        <v>500</v>
      </c>
      <c r="C189" s="57"/>
      <c r="D189" s="57"/>
      <c r="E189" s="57"/>
      <c r="F189" s="57"/>
      <c r="G189" s="57"/>
      <c r="H189" s="57"/>
      <c r="I189" s="57"/>
      <c r="J189" s="57"/>
      <c r="K189" s="63"/>
      <c r="L189" s="57"/>
      <c r="M189" s="57"/>
      <c r="N189" s="57"/>
      <c r="O189" s="57"/>
      <c r="P189" s="57"/>
      <c r="Q189" s="57"/>
    </row>
    <row r="190">
      <c r="A190" s="76" t="s">
        <v>132</v>
      </c>
      <c r="B190" s="60" t="s">
        <v>416</v>
      </c>
      <c r="C190" s="57"/>
      <c r="D190" s="57"/>
      <c r="E190" s="57"/>
      <c r="F190" s="57"/>
      <c r="G190" s="57"/>
      <c r="H190" s="57"/>
      <c r="I190" s="57"/>
      <c r="J190" s="57"/>
      <c r="K190" s="63"/>
      <c r="L190" s="57"/>
      <c r="M190" s="57"/>
      <c r="N190" s="57"/>
      <c r="O190" s="57"/>
      <c r="P190" s="57"/>
      <c r="Q190" s="57"/>
    </row>
    <row r="191">
      <c r="A191" s="69" t="s">
        <v>38</v>
      </c>
      <c r="B191" s="69"/>
      <c r="C191" s="71"/>
      <c r="D191" s="72"/>
      <c r="E191" s="72"/>
      <c r="F191" s="72"/>
      <c r="G191" s="72"/>
      <c r="H191" s="72">
        <f t="shared" ref="H191:H192" si="99">ROUNDDOWN(C330*1.6,0)</f>
        <v>51</v>
      </c>
      <c r="I191" s="72">
        <f t="shared" ref="I191:I192" si="100">ROUNDDOWN(C330*1.76,0)</f>
        <v>56</v>
      </c>
      <c r="J191" s="72">
        <f t="shared" ref="J191:J192" si="101">ROUNDDOWN(C330*1.93,0)</f>
        <v>61</v>
      </c>
      <c r="K191" s="73">
        <f t="shared" ref="K191:K192" si="102">ROUNDDOWN(C330*2.12,0)</f>
        <v>67</v>
      </c>
      <c r="L191" s="72">
        <f t="shared" ref="L191:L192" si="103">ROUNDDOWN(C330*2.33,0)</f>
        <v>74</v>
      </c>
      <c r="M191" s="72">
        <f t="shared" ref="M191:M192" si="104">ROUNDDOWN(C330*2.56,0)</f>
        <v>81</v>
      </c>
      <c r="N191" s="72">
        <f t="shared" ref="N191:N192" si="105">ROUNDDOWN(C330*2.81,0)</f>
        <v>89</v>
      </c>
      <c r="O191" s="72">
        <f t="shared" ref="O191:O192" si="106">ROUNDDOWN(C330*3.09,0)</f>
        <v>98</v>
      </c>
      <c r="P191" s="72">
        <f t="shared" ref="P191:P192" si="107">ROUNDDOWN(C330*3.39,0)</f>
        <v>108</v>
      </c>
      <c r="Q191" s="72"/>
    </row>
    <row r="192">
      <c r="A192" s="69" t="s">
        <v>24</v>
      </c>
      <c r="B192" s="78"/>
      <c r="C192" s="71"/>
      <c r="D192" s="72"/>
      <c r="E192" s="72"/>
      <c r="F192" s="72"/>
      <c r="G192" s="72"/>
      <c r="H192" s="72">
        <f t="shared" si="99"/>
        <v>51</v>
      </c>
      <c r="I192" s="72">
        <f t="shared" si="100"/>
        <v>56</v>
      </c>
      <c r="J192" s="72">
        <f t="shared" si="101"/>
        <v>61</v>
      </c>
      <c r="K192" s="73">
        <f t="shared" si="102"/>
        <v>67</v>
      </c>
      <c r="L192" s="72">
        <f t="shared" si="103"/>
        <v>74</v>
      </c>
      <c r="M192" s="72">
        <f t="shared" si="104"/>
        <v>81</v>
      </c>
      <c r="N192" s="72">
        <f t="shared" si="105"/>
        <v>89</v>
      </c>
      <c r="O192" s="72">
        <f t="shared" si="106"/>
        <v>98</v>
      </c>
      <c r="P192" s="72">
        <f t="shared" si="107"/>
        <v>108</v>
      </c>
      <c r="Q192" s="72"/>
    </row>
    <row r="193">
      <c r="A193" s="69" t="s">
        <v>428</v>
      </c>
      <c r="B193" s="69" t="s">
        <v>429</v>
      </c>
      <c r="C193" s="72"/>
      <c r="D193" s="72"/>
      <c r="E193" s="72"/>
      <c r="F193" s="72"/>
      <c r="G193" s="72"/>
      <c r="H193" s="72"/>
      <c r="I193" s="72"/>
      <c r="J193" s="72"/>
      <c r="K193" s="73"/>
      <c r="L193" s="72"/>
      <c r="M193" s="72"/>
      <c r="N193" s="72"/>
      <c r="O193" s="72"/>
      <c r="P193" s="72"/>
      <c r="Q193" s="72"/>
    </row>
    <row r="194">
      <c r="A194" s="69" t="s">
        <v>55</v>
      </c>
      <c r="B194" s="74" t="s">
        <v>430</v>
      </c>
      <c r="C194" s="79"/>
      <c r="D194" s="72"/>
      <c r="E194" s="72"/>
      <c r="F194" s="72"/>
      <c r="G194" s="72"/>
      <c r="H194" s="72"/>
      <c r="I194" s="72"/>
      <c r="J194" s="72"/>
      <c r="K194" s="73"/>
      <c r="L194" s="72"/>
      <c r="M194" s="72"/>
      <c r="N194" s="72"/>
      <c r="O194" s="72"/>
      <c r="P194" s="72"/>
      <c r="Q194" s="72"/>
    </row>
    <row r="195">
      <c r="A195" s="69" t="s">
        <v>51</v>
      </c>
      <c r="B195" s="69" t="s">
        <v>431</v>
      </c>
      <c r="C195" s="72"/>
      <c r="D195" s="72"/>
      <c r="E195" s="72"/>
      <c r="F195" s="72"/>
      <c r="G195" s="72"/>
      <c r="H195" s="72"/>
      <c r="I195" s="72"/>
      <c r="J195" s="72"/>
      <c r="K195" s="73"/>
      <c r="L195" s="72"/>
      <c r="M195" s="72"/>
      <c r="N195" s="72"/>
      <c r="O195" s="72"/>
      <c r="P195" s="72"/>
      <c r="Q195" s="72"/>
    </row>
    <row r="196">
      <c r="A196" s="69" t="s">
        <v>49</v>
      </c>
      <c r="B196" s="69" t="s">
        <v>430</v>
      </c>
      <c r="C196" s="72"/>
      <c r="D196" s="72"/>
      <c r="E196" s="72"/>
      <c r="F196" s="72"/>
      <c r="G196" s="72"/>
      <c r="H196" s="72"/>
      <c r="I196" s="72"/>
      <c r="J196" s="72"/>
      <c r="K196" s="73"/>
      <c r="L196" s="72"/>
      <c r="M196" s="72"/>
      <c r="N196" s="72"/>
      <c r="O196" s="72"/>
      <c r="P196" s="72"/>
      <c r="Q196" s="72"/>
    </row>
    <row r="197">
      <c r="A197" s="69" t="s">
        <v>432</v>
      </c>
      <c r="B197" s="69" t="s">
        <v>433</v>
      </c>
      <c r="C197" s="72"/>
      <c r="D197" s="72"/>
      <c r="E197" s="72"/>
      <c r="F197" s="72"/>
      <c r="G197" s="72"/>
      <c r="H197" s="72"/>
      <c r="I197" s="72"/>
      <c r="J197" s="72"/>
      <c r="K197" s="73"/>
      <c r="L197" s="72"/>
      <c r="M197" s="72"/>
      <c r="N197" s="72"/>
      <c r="O197" s="72"/>
      <c r="P197" s="72"/>
      <c r="Q197" s="72"/>
    </row>
    <row r="198">
      <c r="A198" s="69" t="s">
        <v>53</v>
      </c>
      <c r="B198" s="69" t="s">
        <v>440</v>
      </c>
      <c r="C198" s="77"/>
      <c r="D198" s="72"/>
      <c r="E198" s="72"/>
      <c r="F198" s="72"/>
      <c r="G198" s="72"/>
      <c r="H198" s="72"/>
      <c r="I198" s="72"/>
      <c r="J198" s="72"/>
      <c r="K198" s="73"/>
      <c r="L198" s="72"/>
      <c r="M198" s="72"/>
      <c r="N198" s="72"/>
      <c r="O198" s="72"/>
      <c r="P198" s="72"/>
      <c r="Q198" s="72"/>
    </row>
    <row r="199">
      <c r="A199" s="69" t="s">
        <v>50</v>
      </c>
      <c r="B199" s="69" t="s">
        <v>98</v>
      </c>
      <c r="C199" s="77"/>
      <c r="D199" s="72"/>
      <c r="E199" s="72"/>
      <c r="F199" s="72"/>
      <c r="G199" s="72"/>
      <c r="H199" s="72"/>
      <c r="I199" s="72"/>
      <c r="J199" s="72"/>
      <c r="K199" s="73"/>
      <c r="L199" s="72"/>
      <c r="M199" s="72"/>
      <c r="N199" s="72"/>
      <c r="O199" s="72"/>
      <c r="P199" s="72"/>
      <c r="Q199" s="72"/>
    </row>
    <row r="200">
      <c r="A200" s="69" t="s">
        <v>438</v>
      </c>
      <c r="B200" s="69" t="s">
        <v>436</v>
      </c>
      <c r="C200" s="77"/>
      <c r="D200" s="72"/>
      <c r="E200" s="72"/>
      <c r="F200" s="72"/>
      <c r="G200" s="72"/>
      <c r="H200" s="72"/>
      <c r="I200" s="72"/>
      <c r="J200" s="72"/>
      <c r="K200" s="73"/>
      <c r="L200" s="72"/>
      <c r="M200" s="72"/>
      <c r="N200" s="72"/>
      <c r="O200" s="72"/>
      <c r="P200" s="72"/>
      <c r="Q200" s="72"/>
    </row>
    <row r="201">
      <c r="A201" s="69" t="s">
        <v>439</v>
      </c>
      <c r="B201" s="69" t="s">
        <v>440</v>
      </c>
      <c r="C201" s="77"/>
      <c r="D201" s="72"/>
      <c r="E201" s="72"/>
      <c r="F201" s="72"/>
      <c r="G201" s="72"/>
      <c r="H201" s="72"/>
      <c r="I201" s="72"/>
      <c r="J201" s="72"/>
      <c r="K201" s="73"/>
      <c r="L201" s="72"/>
      <c r="M201" s="72"/>
      <c r="N201" s="72"/>
      <c r="O201" s="72"/>
      <c r="P201" s="72"/>
      <c r="Q201" s="72"/>
    </row>
    <row r="202">
      <c r="A202" s="69" t="s">
        <v>441</v>
      </c>
      <c r="B202" s="69">
        <v>1.0</v>
      </c>
      <c r="C202" s="77"/>
      <c r="D202" s="72"/>
      <c r="E202" s="72"/>
      <c r="F202" s="72"/>
      <c r="G202" s="72"/>
      <c r="H202" s="72"/>
      <c r="I202" s="72"/>
      <c r="J202" s="72"/>
      <c r="K202" s="73"/>
      <c r="L202" s="72"/>
      <c r="M202" s="72"/>
      <c r="N202" s="72"/>
      <c r="O202" s="72"/>
      <c r="P202" s="72"/>
      <c r="Q202" s="72"/>
    </row>
    <row r="203">
      <c r="A203" s="69" t="s">
        <v>444</v>
      </c>
      <c r="B203" s="69" t="s">
        <v>491</v>
      </c>
      <c r="C203" s="77"/>
      <c r="D203" s="72"/>
      <c r="E203" s="72"/>
      <c r="F203" s="72"/>
      <c r="G203" s="72"/>
      <c r="H203" s="72"/>
      <c r="I203" s="72"/>
      <c r="J203" s="72"/>
      <c r="K203" s="73"/>
      <c r="L203" s="72"/>
      <c r="M203" s="72"/>
      <c r="N203" s="72"/>
      <c r="O203" s="72"/>
      <c r="P203" s="72"/>
      <c r="Q203" s="72"/>
    </row>
    <row r="204">
      <c r="A204" s="69" t="s">
        <v>446</v>
      </c>
      <c r="B204" s="69" t="s">
        <v>491</v>
      </c>
      <c r="C204" s="77"/>
      <c r="D204" s="72"/>
      <c r="E204" s="72"/>
      <c r="F204" s="72"/>
      <c r="G204" s="72"/>
      <c r="H204" s="72"/>
      <c r="I204" s="72"/>
      <c r="J204" s="72"/>
      <c r="K204" s="73"/>
      <c r="L204" s="72"/>
      <c r="M204" s="72"/>
      <c r="N204" s="72"/>
      <c r="O204" s="72"/>
      <c r="P204" s="72"/>
      <c r="Q204" s="72"/>
    </row>
    <row r="205">
      <c r="A205" s="69" t="s">
        <v>447</v>
      </c>
      <c r="B205" s="69" t="s">
        <v>448</v>
      </c>
      <c r="C205" s="77"/>
      <c r="D205" s="72"/>
      <c r="E205" s="72"/>
      <c r="F205" s="72"/>
      <c r="G205" s="72"/>
      <c r="H205" s="72"/>
      <c r="I205" s="72"/>
      <c r="J205" s="72"/>
      <c r="K205" s="73"/>
      <c r="L205" s="72"/>
      <c r="M205" s="72"/>
      <c r="N205" s="72"/>
      <c r="O205" s="72"/>
      <c r="P205" s="72"/>
      <c r="Q205" s="72"/>
    </row>
    <row r="206">
      <c r="A206" s="69" t="s">
        <v>57</v>
      </c>
      <c r="B206" s="69">
        <v>15.0</v>
      </c>
      <c r="C206" s="77"/>
      <c r="D206" s="72"/>
      <c r="E206" s="72"/>
      <c r="F206" s="72"/>
      <c r="G206" s="72"/>
      <c r="H206" s="72"/>
      <c r="I206" s="72"/>
      <c r="J206" s="72"/>
      <c r="K206" s="73"/>
      <c r="L206" s="72"/>
      <c r="M206" s="72"/>
      <c r="N206" s="72"/>
      <c r="O206" s="72"/>
      <c r="P206" s="72"/>
      <c r="Q206" s="72"/>
    </row>
    <row r="207">
      <c r="A207" s="67" t="s">
        <v>113</v>
      </c>
      <c r="B207" s="60" t="s">
        <v>480</v>
      </c>
      <c r="C207" s="57"/>
      <c r="D207" s="57"/>
      <c r="E207" s="57"/>
      <c r="F207" s="57"/>
      <c r="G207" s="57"/>
      <c r="H207" s="57"/>
      <c r="I207" s="57"/>
      <c r="J207" s="57"/>
      <c r="K207" s="63"/>
      <c r="L207" s="57"/>
      <c r="M207" s="57"/>
      <c r="N207" s="57"/>
      <c r="O207" s="57"/>
      <c r="P207" s="57"/>
      <c r="Q207" s="57"/>
    </row>
    <row r="208">
      <c r="A208" s="69" t="s">
        <v>38</v>
      </c>
      <c r="B208" s="70"/>
      <c r="C208" s="71">
        <v>52.0</v>
      </c>
      <c r="D208" s="57">
        <f t="shared" ref="D208:D209" si="108">ROUNDDOWN(C208*1.1,0)</f>
        <v>57</v>
      </c>
      <c r="E208" s="57">
        <f t="shared" ref="E208:E209" si="109">ROUNDDOWN(C208*1.21,0)</f>
        <v>62</v>
      </c>
      <c r="F208" s="57">
        <f t="shared" ref="F208:F209" si="110">ROUNDDOWN(C208*1.33,0)</f>
        <v>69</v>
      </c>
      <c r="G208" s="57">
        <f t="shared" ref="G208:G209" si="111">ROUNDDOWN(C208*1.46,0)</f>
        <v>75</v>
      </c>
      <c r="H208" s="57">
        <f t="shared" ref="H208:H209" si="112">ROUNDDOWN(C208*1.6,0)</f>
        <v>83</v>
      </c>
      <c r="I208" s="57">
        <f t="shared" ref="I208:I209" si="113">ROUNDDOWN(C208*1.76,0)</f>
        <v>91</v>
      </c>
      <c r="J208" s="57">
        <f t="shared" ref="J208:J209" si="114">ROUNDDOWN(C208*1.93,0)</f>
        <v>100</v>
      </c>
      <c r="K208" s="63">
        <f t="shared" ref="K208:K209" si="115">ROUNDDOWN(C208*2.12,0)</f>
        <v>110</v>
      </c>
      <c r="L208" s="57">
        <f t="shared" ref="L208:L209" si="116">ROUNDDOWN(C208*2.33,0)</f>
        <v>121</v>
      </c>
      <c r="M208" s="57">
        <f t="shared" ref="M208:M209" si="117">ROUNDDOWN(C208*2.56,0)</f>
        <v>133</v>
      </c>
      <c r="N208" s="57">
        <f t="shared" ref="N208:N209" si="118">ROUNDDOWN(C208*2.81,0)</f>
        <v>146</v>
      </c>
      <c r="O208" s="57">
        <f t="shared" ref="O208:O209" si="119">ROUNDDOWN(C208*3.09,0)</f>
        <v>160</v>
      </c>
      <c r="P208" s="57">
        <f t="shared" ref="P208:P209" si="120">ROUNDDOWN(C208*3.39,0)</f>
        <v>176</v>
      </c>
      <c r="Q208" s="72"/>
    </row>
    <row r="209">
      <c r="A209" s="69" t="s">
        <v>24</v>
      </c>
      <c r="B209" s="70"/>
      <c r="C209" s="71">
        <v>32.0</v>
      </c>
      <c r="D209" s="57">
        <f t="shared" si="108"/>
        <v>35</v>
      </c>
      <c r="E209" s="57">
        <f t="shared" si="109"/>
        <v>38</v>
      </c>
      <c r="F209" s="57">
        <f t="shared" si="110"/>
        <v>42</v>
      </c>
      <c r="G209" s="57">
        <f t="shared" si="111"/>
        <v>46</v>
      </c>
      <c r="H209" s="57">
        <f t="shared" si="112"/>
        <v>51</v>
      </c>
      <c r="I209" s="57">
        <f t="shared" si="113"/>
        <v>56</v>
      </c>
      <c r="J209" s="57">
        <f t="shared" si="114"/>
        <v>61</v>
      </c>
      <c r="K209" s="63">
        <f t="shared" si="115"/>
        <v>67</v>
      </c>
      <c r="L209" s="57">
        <f t="shared" si="116"/>
        <v>74</v>
      </c>
      <c r="M209" s="57">
        <f t="shared" si="117"/>
        <v>81</v>
      </c>
      <c r="N209" s="57">
        <f t="shared" si="118"/>
        <v>89</v>
      </c>
      <c r="O209" s="57">
        <f t="shared" si="119"/>
        <v>98</v>
      </c>
      <c r="P209" s="57">
        <f t="shared" si="120"/>
        <v>108</v>
      </c>
      <c r="Q209" s="72"/>
    </row>
    <row r="210">
      <c r="A210" s="69" t="s">
        <v>428</v>
      </c>
      <c r="B210" s="69" t="s">
        <v>429</v>
      </c>
      <c r="C210" s="72"/>
      <c r="D210" s="72"/>
      <c r="E210" s="72"/>
      <c r="F210" s="72"/>
      <c r="G210" s="72"/>
      <c r="H210" s="72"/>
      <c r="I210" s="72"/>
      <c r="J210" s="72"/>
      <c r="K210" s="73"/>
      <c r="L210" s="72"/>
      <c r="M210" s="72"/>
      <c r="N210" s="72"/>
      <c r="O210" s="72"/>
      <c r="P210" s="72"/>
      <c r="Q210" s="72"/>
    </row>
    <row r="211">
      <c r="A211" s="69" t="s">
        <v>55</v>
      </c>
      <c r="B211" s="69" t="s">
        <v>430</v>
      </c>
      <c r="C211" s="72"/>
      <c r="D211" s="72"/>
      <c r="E211" s="72"/>
      <c r="F211" s="72"/>
      <c r="G211" s="72"/>
      <c r="H211" s="72"/>
      <c r="I211" s="72"/>
      <c r="J211" s="72"/>
      <c r="K211" s="73"/>
      <c r="L211" s="72"/>
      <c r="M211" s="72"/>
      <c r="N211" s="72"/>
      <c r="O211" s="72"/>
      <c r="P211" s="72"/>
      <c r="Q211" s="72"/>
    </row>
    <row r="212">
      <c r="A212" s="69" t="s">
        <v>51</v>
      </c>
      <c r="B212" s="69" t="s">
        <v>482</v>
      </c>
      <c r="C212" s="72"/>
      <c r="D212" s="72"/>
      <c r="E212" s="72"/>
      <c r="F212" s="72"/>
      <c r="G212" s="72"/>
      <c r="H212" s="72"/>
      <c r="I212" s="72"/>
      <c r="J212" s="72"/>
      <c r="K212" s="73"/>
      <c r="L212" s="72"/>
      <c r="M212" s="72"/>
      <c r="N212" s="72"/>
      <c r="O212" s="72"/>
      <c r="P212" s="72"/>
      <c r="Q212" s="72"/>
    </row>
    <row r="213">
      <c r="A213" s="69" t="s">
        <v>49</v>
      </c>
      <c r="B213" s="69" t="s">
        <v>463</v>
      </c>
      <c r="C213" s="72"/>
      <c r="D213" s="72"/>
      <c r="E213" s="72"/>
      <c r="F213" s="72"/>
      <c r="G213" s="72"/>
      <c r="H213" s="72"/>
      <c r="I213" s="72"/>
      <c r="J213" s="72"/>
      <c r="K213" s="73"/>
      <c r="L213" s="72"/>
      <c r="M213" s="72"/>
      <c r="N213" s="72"/>
      <c r="O213" s="72"/>
      <c r="P213" s="72"/>
      <c r="Q213" s="72"/>
    </row>
    <row r="214">
      <c r="A214" s="69" t="s">
        <v>432</v>
      </c>
      <c r="B214" s="69" t="s">
        <v>452</v>
      </c>
      <c r="C214" s="72"/>
      <c r="D214" s="72"/>
      <c r="E214" s="72"/>
      <c r="F214" s="72"/>
      <c r="G214" s="72"/>
      <c r="H214" s="72"/>
      <c r="I214" s="72"/>
      <c r="J214" s="72"/>
      <c r="K214" s="73"/>
      <c r="L214" s="72"/>
      <c r="M214" s="72"/>
      <c r="N214" s="72"/>
      <c r="O214" s="72"/>
      <c r="P214" s="72"/>
      <c r="Q214" s="72"/>
    </row>
    <row r="215">
      <c r="A215" s="69" t="s">
        <v>422</v>
      </c>
      <c r="B215" s="69" t="s">
        <v>496</v>
      </c>
      <c r="C215" s="72"/>
      <c r="D215" s="72"/>
      <c r="E215" s="72"/>
      <c r="F215" s="72"/>
      <c r="G215" s="72"/>
      <c r="H215" s="72"/>
      <c r="I215" s="72"/>
      <c r="J215" s="72"/>
      <c r="K215" s="73"/>
      <c r="L215" s="72"/>
      <c r="M215" s="72"/>
      <c r="N215" s="72"/>
      <c r="O215" s="72"/>
      <c r="P215" s="72"/>
      <c r="Q215" s="72"/>
    </row>
    <row r="216">
      <c r="A216" s="69" t="s">
        <v>435</v>
      </c>
      <c r="B216" s="69" t="s">
        <v>436</v>
      </c>
      <c r="C216" s="72"/>
      <c r="D216" s="72"/>
      <c r="E216" s="72"/>
      <c r="F216" s="72"/>
      <c r="G216" s="72"/>
      <c r="H216" s="72"/>
      <c r="I216" s="72"/>
      <c r="J216" s="72"/>
      <c r="K216" s="73"/>
      <c r="L216" s="72"/>
      <c r="M216" s="72"/>
      <c r="N216" s="72"/>
      <c r="O216" s="72"/>
      <c r="P216" s="72"/>
      <c r="Q216" s="72"/>
    </row>
    <row r="217">
      <c r="A217" s="69" t="s">
        <v>426</v>
      </c>
      <c r="B217" s="69" t="s">
        <v>501</v>
      </c>
      <c r="C217" s="72"/>
      <c r="D217" s="72"/>
      <c r="E217" s="72"/>
      <c r="F217" s="72"/>
      <c r="G217" s="72"/>
      <c r="H217" s="72"/>
      <c r="I217" s="72"/>
      <c r="J217" s="72"/>
      <c r="K217" s="73"/>
      <c r="L217" s="72"/>
      <c r="M217" s="72"/>
      <c r="N217" s="72"/>
      <c r="O217" s="72"/>
      <c r="P217" s="72"/>
      <c r="Q217" s="72"/>
    </row>
    <row r="218">
      <c r="A218" s="69" t="s">
        <v>53</v>
      </c>
      <c r="B218" s="69" t="s">
        <v>456</v>
      </c>
      <c r="C218" s="72"/>
      <c r="D218" s="72"/>
      <c r="E218" s="72"/>
      <c r="F218" s="72"/>
      <c r="G218" s="72"/>
      <c r="H218" s="72"/>
      <c r="I218" s="72"/>
      <c r="J218" s="72"/>
      <c r="K218" s="73"/>
      <c r="L218" s="72"/>
      <c r="M218" s="72"/>
      <c r="N218" s="72"/>
      <c r="O218" s="72"/>
      <c r="P218" s="72"/>
      <c r="Q218" s="72"/>
    </row>
    <row r="219">
      <c r="A219" s="69" t="s">
        <v>50</v>
      </c>
      <c r="B219" s="69" t="s">
        <v>425</v>
      </c>
      <c r="C219" s="72"/>
      <c r="D219" s="72"/>
      <c r="E219" s="72"/>
      <c r="F219" s="72"/>
      <c r="G219" s="72"/>
      <c r="H219" s="72"/>
      <c r="I219" s="72"/>
      <c r="J219" s="72"/>
      <c r="K219" s="73"/>
      <c r="L219" s="72"/>
      <c r="M219" s="72"/>
      <c r="N219" s="72"/>
      <c r="O219" s="72"/>
      <c r="P219" s="72"/>
      <c r="Q219" s="72"/>
    </row>
    <row r="220">
      <c r="A220" s="69" t="s">
        <v>438</v>
      </c>
      <c r="B220" s="69" t="s">
        <v>436</v>
      </c>
      <c r="C220" s="72"/>
      <c r="D220" s="72"/>
      <c r="E220" s="72"/>
      <c r="F220" s="72"/>
      <c r="G220" s="72"/>
      <c r="H220" s="72"/>
      <c r="I220" s="72"/>
      <c r="J220" s="72"/>
      <c r="K220" s="73"/>
      <c r="L220" s="72"/>
      <c r="M220" s="72"/>
      <c r="N220" s="72"/>
      <c r="O220" s="72"/>
      <c r="P220" s="72"/>
      <c r="Q220" s="72"/>
    </row>
    <row r="221">
      <c r="A221" s="69" t="s">
        <v>439</v>
      </c>
      <c r="B221" s="69" t="s">
        <v>440</v>
      </c>
      <c r="C221" s="72"/>
      <c r="D221" s="72"/>
      <c r="E221" s="72"/>
      <c r="F221" s="72"/>
      <c r="G221" s="72"/>
      <c r="H221" s="72"/>
      <c r="I221" s="72"/>
      <c r="J221" s="72"/>
      <c r="K221" s="73"/>
      <c r="L221" s="72"/>
      <c r="M221" s="72"/>
      <c r="N221" s="72"/>
      <c r="O221" s="72"/>
      <c r="P221" s="72"/>
      <c r="Q221" s="72"/>
    </row>
    <row r="222">
      <c r="A222" s="69" t="s">
        <v>441</v>
      </c>
      <c r="B222" s="69">
        <v>1.0</v>
      </c>
      <c r="C222" s="72"/>
      <c r="D222" s="72"/>
      <c r="E222" s="72"/>
      <c r="F222" s="72"/>
      <c r="G222" s="72"/>
      <c r="H222" s="72"/>
      <c r="I222" s="72"/>
      <c r="J222" s="72"/>
      <c r="K222" s="73"/>
      <c r="L222" s="72"/>
      <c r="M222" s="72"/>
      <c r="N222" s="72"/>
      <c r="O222" s="72"/>
      <c r="P222" s="72"/>
      <c r="Q222" s="72"/>
    </row>
    <row r="223">
      <c r="A223" s="69" t="s">
        <v>446</v>
      </c>
      <c r="B223" s="69" t="s">
        <v>502</v>
      </c>
      <c r="C223" s="72"/>
      <c r="D223" s="72"/>
      <c r="E223" s="72"/>
      <c r="F223" s="72"/>
      <c r="G223" s="72"/>
      <c r="H223" s="72"/>
      <c r="I223" s="72"/>
      <c r="J223" s="72"/>
      <c r="K223" s="73"/>
      <c r="L223" s="72"/>
      <c r="M223" s="72"/>
      <c r="N223" s="72"/>
      <c r="O223" s="72"/>
      <c r="P223" s="72"/>
      <c r="Q223" s="72"/>
    </row>
    <row r="224">
      <c r="A224" s="69" t="s">
        <v>447</v>
      </c>
      <c r="B224" s="69" t="s">
        <v>448</v>
      </c>
      <c r="C224" s="72"/>
      <c r="D224" s="72"/>
      <c r="E224" s="72"/>
      <c r="F224" s="72"/>
      <c r="G224" s="72"/>
      <c r="H224" s="72"/>
      <c r="I224" s="72"/>
      <c r="J224" s="72"/>
      <c r="K224" s="73"/>
      <c r="L224" s="72"/>
      <c r="M224" s="72"/>
      <c r="N224" s="72"/>
      <c r="O224" s="72"/>
      <c r="P224" s="72"/>
      <c r="Q224" s="72"/>
    </row>
    <row r="225">
      <c r="A225" s="69" t="s">
        <v>57</v>
      </c>
      <c r="B225" s="69">
        <v>3.0</v>
      </c>
      <c r="C225" s="72"/>
      <c r="D225" s="72"/>
      <c r="E225" s="72"/>
      <c r="F225" s="72"/>
      <c r="G225" s="72"/>
      <c r="H225" s="72"/>
      <c r="I225" s="72"/>
      <c r="J225" s="72"/>
      <c r="K225" s="73"/>
      <c r="L225" s="72"/>
      <c r="M225" s="72"/>
      <c r="N225" s="72"/>
      <c r="O225" s="72"/>
      <c r="P225" s="72"/>
      <c r="Q225" s="72"/>
    </row>
    <row r="226">
      <c r="A226" s="69" t="s">
        <v>449</v>
      </c>
      <c r="B226" s="69" t="s">
        <v>450</v>
      </c>
      <c r="C226" s="72"/>
      <c r="D226" s="72"/>
      <c r="E226" s="72"/>
      <c r="F226" s="72"/>
      <c r="G226" s="72"/>
      <c r="H226" s="72"/>
      <c r="I226" s="72"/>
      <c r="J226" s="72"/>
      <c r="K226" s="73"/>
      <c r="L226" s="72"/>
      <c r="M226" s="72"/>
      <c r="N226" s="72"/>
      <c r="O226" s="72"/>
      <c r="P226" s="72"/>
      <c r="Q226" s="72"/>
    </row>
    <row r="227">
      <c r="A227" s="67" t="s">
        <v>115</v>
      </c>
      <c r="B227" s="60" t="s">
        <v>480</v>
      </c>
      <c r="C227" s="65"/>
      <c r="D227" s="57"/>
      <c r="E227" s="57"/>
      <c r="F227" s="57"/>
      <c r="G227" s="57"/>
      <c r="H227" s="57"/>
      <c r="I227" s="57"/>
      <c r="J227" s="57"/>
      <c r="K227" s="63"/>
      <c r="L227" s="57"/>
      <c r="M227" s="57"/>
      <c r="N227" s="57"/>
      <c r="O227" s="57"/>
      <c r="P227" s="57"/>
      <c r="Q227" s="57"/>
    </row>
    <row r="228">
      <c r="A228" s="60" t="s">
        <v>38</v>
      </c>
      <c r="B228" s="60"/>
      <c r="C228" s="65">
        <v>79.0</v>
      </c>
      <c r="D228" s="57">
        <f t="shared" ref="D228:D229" si="121">ROUNDDOWN(C228*1.1,0)</f>
        <v>86</v>
      </c>
      <c r="E228" s="57">
        <f t="shared" ref="E228:E229" si="122">ROUNDDOWN(C228*1.21,0)</f>
        <v>95</v>
      </c>
      <c r="F228" s="57">
        <f t="shared" ref="F228:F229" si="123">ROUNDDOWN(C228*1.33,0)</f>
        <v>105</v>
      </c>
      <c r="G228" s="57">
        <f t="shared" ref="G228:G229" si="124">ROUNDDOWN(C228*1.46,0)</f>
        <v>115</v>
      </c>
      <c r="H228" s="57">
        <f t="shared" ref="H228:H229" si="125">ROUNDDOWN(C228*1.6,0)</f>
        <v>126</v>
      </c>
      <c r="I228" s="57">
        <f t="shared" ref="I228:I229" si="126">ROUNDDOWN(C228*1.76,0)</f>
        <v>139</v>
      </c>
      <c r="J228" s="57">
        <f t="shared" ref="J228:J229" si="127">ROUNDDOWN(C228*1.93,0)</f>
        <v>152</v>
      </c>
      <c r="K228" s="63">
        <f t="shared" ref="K228:K229" si="128">ROUNDDOWN(C228*2.12,0)</f>
        <v>167</v>
      </c>
      <c r="L228" s="57">
        <f t="shared" ref="L228:L229" si="129">ROUNDDOWN(C228*2.33,0)</f>
        <v>184</v>
      </c>
      <c r="M228" s="57">
        <f t="shared" ref="M228:M229" si="130">ROUNDDOWN(C228*2.56,0)</f>
        <v>202</v>
      </c>
      <c r="N228" s="57">
        <f t="shared" ref="N228:N229" si="131">ROUNDDOWN(C228*2.81,0)</f>
        <v>221</v>
      </c>
      <c r="O228" s="57">
        <f t="shared" ref="O228:O229" si="132">ROUNDDOWN(C228*3.09,0)</f>
        <v>244</v>
      </c>
      <c r="P228" s="57">
        <f t="shared" ref="P228:P229" si="133">ROUNDDOWN(C228*3.39,0)</f>
        <v>267</v>
      </c>
      <c r="Q228" s="57"/>
    </row>
    <row r="229">
      <c r="A229" s="60" t="s">
        <v>24</v>
      </c>
      <c r="B229" s="26"/>
      <c r="C229" s="65">
        <v>47.0</v>
      </c>
      <c r="D229" s="57">
        <f t="shared" si="121"/>
        <v>51</v>
      </c>
      <c r="E229" s="57">
        <f t="shared" si="122"/>
        <v>56</v>
      </c>
      <c r="F229" s="57">
        <f t="shared" si="123"/>
        <v>62</v>
      </c>
      <c r="G229" s="57">
        <f t="shared" si="124"/>
        <v>68</v>
      </c>
      <c r="H229" s="57">
        <f t="shared" si="125"/>
        <v>75</v>
      </c>
      <c r="I229" s="57">
        <f t="shared" si="126"/>
        <v>82</v>
      </c>
      <c r="J229" s="57">
        <f t="shared" si="127"/>
        <v>90</v>
      </c>
      <c r="K229" s="63">
        <f t="shared" si="128"/>
        <v>99</v>
      </c>
      <c r="L229" s="57">
        <f t="shared" si="129"/>
        <v>109</v>
      </c>
      <c r="M229" s="57">
        <f t="shared" si="130"/>
        <v>120</v>
      </c>
      <c r="N229" s="57">
        <f t="shared" si="131"/>
        <v>132</v>
      </c>
      <c r="O229" s="57">
        <f t="shared" si="132"/>
        <v>145</v>
      </c>
      <c r="P229" s="57">
        <f t="shared" si="133"/>
        <v>159</v>
      </c>
      <c r="Q229" s="57"/>
    </row>
    <row r="230">
      <c r="A230" s="60" t="s">
        <v>428</v>
      </c>
      <c r="B230" s="60" t="s">
        <v>429</v>
      </c>
      <c r="C230" s="57"/>
      <c r="D230" s="57"/>
      <c r="E230" s="57"/>
      <c r="F230" s="57"/>
      <c r="G230" s="57"/>
      <c r="H230" s="57"/>
      <c r="I230" s="57"/>
      <c r="J230" s="57"/>
      <c r="K230" s="63"/>
      <c r="L230" s="57"/>
      <c r="M230" s="57"/>
      <c r="N230" s="57"/>
      <c r="O230" s="57"/>
      <c r="P230" s="57"/>
      <c r="Q230" s="57"/>
    </row>
    <row r="231">
      <c r="A231" s="60" t="s">
        <v>55</v>
      </c>
      <c r="B231" s="60" t="s">
        <v>430</v>
      </c>
      <c r="C231" s="57"/>
      <c r="D231" s="57"/>
      <c r="E231" s="57"/>
      <c r="F231" s="57"/>
      <c r="G231" s="57"/>
      <c r="H231" s="57"/>
      <c r="I231" s="57"/>
      <c r="J231" s="57"/>
      <c r="K231" s="63"/>
      <c r="L231" s="57"/>
      <c r="M231" s="57"/>
      <c r="N231" s="57"/>
      <c r="O231" s="57"/>
      <c r="P231" s="57"/>
      <c r="Q231" s="57"/>
    </row>
    <row r="232">
      <c r="A232" s="60" t="s">
        <v>51</v>
      </c>
      <c r="B232" s="60" t="s">
        <v>482</v>
      </c>
      <c r="C232" s="57"/>
      <c r="D232" s="57"/>
      <c r="E232" s="57"/>
      <c r="F232" s="57"/>
      <c r="G232" s="57"/>
      <c r="H232" s="57"/>
      <c r="I232" s="57"/>
      <c r="J232" s="57"/>
      <c r="K232" s="63"/>
      <c r="L232" s="57"/>
      <c r="M232" s="57"/>
      <c r="N232" s="57"/>
      <c r="O232" s="57"/>
      <c r="P232" s="57"/>
      <c r="Q232" s="57"/>
    </row>
    <row r="233">
      <c r="A233" s="60" t="s">
        <v>49</v>
      </c>
      <c r="B233" s="60" t="s">
        <v>453</v>
      </c>
      <c r="C233" s="57"/>
      <c r="D233" s="57"/>
      <c r="E233" s="57"/>
      <c r="F233" s="57"/>
      <c r="G233" s="57"/>
      <c r="H233" s="57"/>
      <c r="I233" s="57"/>
      <c r="J233" s="57"/>
      <c r="K233" s="63"/>
      <c r="L233" s="57"/>
      <c r="M233" s="57"/>
      <c r="N233" s="57"/>
      <c r="O233" s="57"/>
      <c r="P233" s="57"/>
      <c r="Q233" s="57"/>
    </row>
    <row r="234">
      <c r="A234" s="60" t="s">
        <v>432</v>
      </c>
      <c r="B234" s="60" t="s">
        <v>493</v>
      </c>
      <c r="C234" s="57"/>
      <c r="D234" s="57"/>
      <c r="E234" s="57"/>
      <c r="F234" s="57"/>
      <c r="G234" s="57"/>
      <c r="H234" s="57"/>
      <c r="I234" s="57"/>
      <c r="J234" s="57"/>
      <c r="K234" s="63"/>
      <c r="L234" s="57"/>
      <c r="M234" s="57"/>
      <c r="N234" s="57"/>
      <c r="O234" s="57"/>
      <c r="P234" s="57"/>
      <c r="Q234" s="57"/>
    </row>
    <row r="235">
      <c r="A235" s="60" t="s">
        <v>53</v>
      </c>
      <c r="B235" s="60" t="s">
        <v>440</v>
      </c>
      <c r="C235" s="65"/>
      <c r="D235" s="57"/>
      <c r="E235" s="57"/>
      <c r="F235" s="57"/>
      <c r="G235" s="57"/>
      <c r="H235" s="57"/>
      <c r="I235" s="57"/>
      <c r="J235" s="57"/>
      <c r="K235" s="63"/>
      <c r="L235" s="57"/>
      <c r="M235" s="57"/>
      <c r="N235" s="57"/>
      <c r="O235" s="57"/>
      <c r="P235" s="57"/>
      <c r="Q235" s="57"/>
    </row>
    <row r="236">
      <c r="A236" s="60" t="s">
        <v>50</v>
      </c>
      <c r="B236" s="60" t="s">
        <v>98</v>
      </c>
      <c r="C236" s="65"/>
      <c r="D236" s="57"/>
      <c r="E236" s="57"/>
      <c r="F236" s="57"/>
      <c r="G236" s="57"/>
      <c r="H236" s="57"/>
      <c r="I236" s="57"/>
      <c r="J236" s="57"/>
      <c r="K236" s="63"/>
      <c r="L236" s="57"/>
      <c r="M236" s="57"/>
      <c r="N236" s="57"/>
      <c r="O236" s="57"/>
      <c r="P236" s="57"/>
      <c r="Q236" s="57"/>
    </row>
    <row r="237">
      <c r="A237" s="60" t="s">
        <v>438</v>
      </c>
      <c r="B237" s="60" t="s">
        <v>436</v>
      </c>
      <c r="C237" s="65"/>
      <c r="D237" s="57"/>
      <c r="E237" s="57"/>
      <c r="F237" s="57"/>
      <c r="G237" s="57"/>
      <c r="H237" s="57"/>
      <c r="I237" s="57"/>
      <c r="J237" s="57"/>
      <c r="K237" s="63"/>
      <c r="L237" s="57"/>
      <c r="M237" s="57"/>
      <c r="N237" s="57"/>
      <c r="O237" s="57"/>
      <c r="P237" s="57"/>
      <c r="Q237" s="57"/>
    </row>
    <row r="238">
      <c r="A238" s="60" t="s">
        <v>439</v>
      </c>
      <c r="B238" s="60" t="s">
        <v>440</v>
      </c>
      <c r="C238" s="65"/>
      <c r="D238" s="57"/>
      <c r="E238" s="57"/>
      <c r="F238" s="57"/>
      <c r="G238" s="57"/>
      <c r="H238" s="57"/>
      <c r="I238" s="57"/>
      <c r="J238" s="57"/>
      <c r="K238" s="63"/>
      <c r="L238" s="57"/>
      <c r="M238" s="57"/>
      <c r="N238" s="57"/>
      <c r="O238" s="57"/>
      <c r="P238" s="57"/>
      <c r="Q238" s="57"/>
    </row>
    <row r="239">
      <c r="A239" s="60" t="s">
        <v>441</v>
      </c>
      <c r="B239" s="60">
        <v>2.0</v>
      </c>
      <c r="C239" s="65"/>
      <c r="D239" s="57"/>
      <c r="E239" s="57"/>
      <c r="F239" s="57"/>
      <c r="G239" s="57"/>
      <c r="H239" s="57"/>
      <c r="I239" s="57"/>
      <c r="J239" s="57"/>
      <c r="K239" s="63"/>
      <c r="L239" s="57"/>
      <c r="M239" s="57"/>
      <c r="N239" s="57"/>
      <c r="O239" s="57"/>
      <c r="P239" s="57"/>
      <c r="Q239" s="57"/>
    </row>
    <row r="240">
      <c r="A240" s="60" t="s">
        <v>444</v>
      </c>
      <c r="B240" s="60" t="s">
        <v>491</v>
      </c>
      <c r="C240" s="65"/>
      <c r="D240" s="57"/>
      <c r="E240" s="57"/>
      <c r="F240" s="57"/>
      <c r="G240" s="57"/>
      <c r="H240" s="57"/>
      <c r="I240" s="57"/>
      <c r="J240" s="57"/>
      <c r="K240" s="63"/>
      <c r="L240" s="57"/>
      <c r="M240" s="57"/>
      <c r="N240" s="57"/>
      <c r="O240" s="57"/>
      <c r="P240" s="57"/>
      <c r="Q240" s="57"/>
    </row>
    <row r="241">
      <c r="A241" s="60" t="s">
        <v>446</v>
      </c>
      <c r="B241" s="60" t="s">
        <v>491</v>
      </c>
      <c r="C241" s="65"/>
      <c r="D241" s="57"/>
      <c r="E241" s="57"/>
      <c r="F241" s="57"/>
      <c r="G241" s="57"/>
      <c r="H241" s="57"/>
      <c r="I241" s="57"/>
      <c r="J241" s="57"/>
      <c r="K241" s="63"/>
      <c r="L241" s="57"/>
      <c r="M241" s="57"/>
      <c r="N241" s="57"/>
      <c r="O241" s="57"/>
      <c r="P241" s="57"/>
      <c r="Q241" s="57"/>
    </row>
    <row r="242">
      <c r="A242" s="60" t="s">
        <v>447</v>
      </c>
      <c r="B242" s="60" t="s">
        <v>448</v>
      </c>
      <c r="C242" s="65"/>
      <c r="D242" s="57"/>
      <c r="E242" s="57"/>
      <c r="F242" s="57"/>
      <c r="G242" s="57"/>
      <c r="H242" s="57"/>
      <c r="I242" s="57"/>
      <c r="J242" s="57"/>
      <c r="K242" s="63"/>
      <c r="L242" s="57"/>
      <c r="M242" s="57"/>
      <c r="N242" s="57"/>
      <c r="O242" s="57"/>
      <c r="P242" s="57"/>
      <c r="Q242" s="57"/>
    </row>
    <row r="243">
      <c r="A243" s="60" t="s">
        <v>57</v>
      </c>
      <c r="B243" s="60">
        <v>3.0</v>
      </c>
      <c r="C243" s="65"/>
      <c r="D243" s="57"/>
      <c r="E243" s="57"/>
      <c r="F243" s="57"/>
      <c r="G243" s="57"/>
      <c r="H243" s="57"/>
      <c r="I243" s="57"/>
      <c r="J243" s="57"/>
      <c r="K243" s="63"/>
      <c r="L243" s="57"/>
      <c r="M243" s="57"/>
      <c r="N243" s="57"/>
      <c r="O243" s="57"/>
      <c r="P243" s="57"/>
      <c r="Q243" s="57"/>
    </row>
    <row r="244">
      <c r="A244" s="60" t="s">
        <v>449</v>
      </c>
      <c r="B244" s="60" t="s">
        <v>450</v>
      </c>
      <c r="C244" s="65"/>
      <c r="D244" s="57"/>
      <c r="E244" s="57"/>
      <c r="F244" s="57"/>
      <c r="G244" s="57"/>
      <c r="H244" s="57"/>
      <c r="I244" s="57"/>
      <c r="J244" s="57"/>
      <c r="K244" s="63"/>
      <c r="L244" s="57"/>
      <c r="M244" s="57"/>
      <c r="N244" s="57"/>
      <c r="O244" s="57"/>
      <c r="P244" s="57"/>
      <c r="Q244" s="57"/>
    </row>
    <row r="245">
      <c r="A245" s="68" t="s">
        <v>230</v>
      </c>
      <c r="B245" s="60" t="s">
        <v>468</v>
      </c>
      <c r="C245" s="57"/>
      <c r="D245" s="57"/>
      <c r="E245" s="57"/>
      <c r="F245" s="57"/>
      <c r="G245" s="57"/>
      <c r="H245" s="57"/>
      <c r="I245" s="57"/>
      <c r="J245" s="57"/>
      <c r="K245" s="63"/>
      <c r="L245" s="57"/>
      <c r="M245" s="57"/>
      <c r="N245" s="57"/>
      <c r="O245" s="57"/>
      <c r="P245" s="57"/>
      <c r="Q245" s="57"/>
    </row>
    <row r="246">
      <c r="A246" s="60" t="s">
        <v>38</v>
      </c>
      <c r="B246" s="26"/>
      <c r="C246" s="57"/>
      <c r="D246" s="57"/>
      <c r="E246" s="65">
        <v>480.0</v>
      </c>
      <c r="F246" s="57">
        <f>ROUNDDOWN(E246*1.1,0)</f>
        <v>528</v>
      </c>
      <c r="G246" s="57">
        <f>ROUNDDOWN(E246*1.21,0)</f>
        <v>580</v>
      </c>
      <c r="H246" s="57">
        <f>ROUNDDOWN(E246*1.33,0)</f>
        <v>638</v>
      </c>
      <c r="I246" s="57">
        <f>ROUNDDOWN(E246*1.46,0)</f>
        <v>700</v>
      </c>
      <c r="J246" s="57">
        <f>ROUNDDOWN(E246*1.6,0)</f>
        <v>768</v>
      </c>
      <c r="K246" s="63">
        <f>ROUNDDOWN(E246*1.76,0)</f>
        <v>844</v>
      </c>
      <c r="L246" s="57">
        <f>ROUNDDOWN(E246*1.93,0)</f>
        <v>926</v>
      </c>
      <c r="M246" s="57">
        <f>ROUNDDOWN(E246*2.12,0)</f>
        <v>1017</v>
      </c>
      <c r="N246" s="57">
        <f>ROUNDDOWN(E246*2.33,0)</f>
        <v>1118</v>
      </c>
      <c r="O246" s="57">
        <f>ROUNDDOWN(E246*2.56,0)</f>
        <v>1228</v>
      </c>
      <c r="P246" s="57">
        <f>ROUNDDOWN(E246*2.81,0)</f>
        <v>1348</v>
      </c>
      <c r="Q246" s="57"/>
    </row>
    <row r="247">
      <c r="A247" s="60" t="s">
        <v>503</v>
      </c>
      <c r="B247" s="26"/>
      <c r="C247" s="57"/>
      <c r="D247" s="57"/>
      <c r="E247" s="65">
        <f t="shared" ref="E247:P247" si="134">E$3</f>
        <v>3</v>
      </c>
      <c r="F247" s="65">
        <f t="shared" si="134"/>
        <v>4</v>
      </c>
      <c r="G247" s="65">
        <f t="shared" si="134"/>
        <v>5</v>
      </c>
      <c r="H247" s="65">
        <f t="shared" si="134"/>
        <v>6</v>
      </c>
      <c r="I247" s="65">
        <f t="shared" si="134"/>
        <v>7</v>
      </c>
      <c r="J247" s="65">
        <f t="shared" si="134"/>
        <v>8</v>
      </c>
      <c r="K247" s="66">
        <f t="shared" si="134"/>
        <v>9</v>
      </c>
      <c r="L247" s="65">
        <f t="shared" si="134"/>
        <v>10</v>
      </c>
      <c r="M247" s="65">
        <f t="shared" si="134"/>
        <v>11</v>
      </c>
      <c r="N247" s="65">
        <f t="shared" si="134"/>
        <v>12</v>
      </c>
      <c r="O247" s="65">
        <f t="shared" si="134"/>
        <v>13</v>
      </c>
      <c r="P247" s="65">
        <f t="shared" si="134"/>
        <v>14</v>
      </c>
      <c r="Q247" s="57"/>
    </row>
    <row r="248">
      <c r="A248" s="60" t="s">
        <v>55</v>
      </c>
      <c r="B248" s="60" t="s">
        <v>430</v>
      </c>
      <c r="C248" s="57"/>
      <c r="D248" s="57"/>
      <c r="E248" s="57"/>
      <c r="F248" s="57"/>
      <c r="G248" s="57"/>
      <c r="H248" s="57"/>
      <c r="I248" s="57"/>
      <c r="J248" s="57"/>
      <c r="K248" s="63"/>
      <c r="L248" s="57"/>
      <c r="M248" s="57"/>
      <c r="N248" s="57"/>
      <c r="O248" s="57"/>
      <c r="P248" s="57"/>
      <c r="Q248" s="57"/>
    </row>
    <row r="249">
      <c r="A249" s="60" t="s">
        <v>56</v>
      </c>
      <c r="B249" s="60" t="s">
        <v>504</v>
      </c>
      <c r="C249" s="57"/>
      <c r="D249" s="57"/>
      <c r="E249" s="57"/>
      <c r="F249" s="57"/>
      <c r="G249" s="57"/>
      <c r="H249" s="57"/>
      <c r="I249" s="57"/>
      <c r="J249" s="57"/>
      <c r="K249" s="63"/>
      <c r="L249" s="57"/>
      <c r="M249" s="57"/>
      <c r="N249" s="57"/>
      <c r="O249" s="57"/>
      <c r="P249" s="57"/>
      <c r="Q249" s="57"/>
    </row>
    <row r="250">
      <c r="A250" s="60" t="s">
        <v>439</v>
      </c>
      <c r="B250" s="60" t="s">
        <v>505</v>
      </c>
      <c r="C250" s="57"/>
      <c r="D250" s="57"/>
      <c r="E250" s="57"/>
      <c r="F250" s="57"/>
      <c r="G250" s="57"/>
      <c r="H250" s="57"/>
      <c r="I250" s="57"/>
      <c r="J250" s="57"/>
      <c r="K250" s="63"/>
      <c r="L250" s="57"/>
      <c r="M250" s="57"/>
      <c r="N250" s="57"/>
      <c r="O250" s="57"/>
      <c r="P250" s="57"/>
      <c r="Q250" s="57"/>
    </row>
    <row r="251">
      <c r="A251" s="60" t="s">
        <v>506</v>
      </c>
      <c r="B251" s="60">
        <v>1.0</v>
      </c>
      <c r="C251" s="57"/>
      <c r="D251" s="57"/>
      <c r="E251" s="57"/>
      <c r="F251" s="57"/>
      <c r="G251" s="57"/>
      <c r="H251" s="57"/>
      <c r="I251" s="57"/>
      <c r="J251" s="57"/>
      <c r="K251" s="63"/>
      <c r="L251" s="57"/>
      <c r="M251" s="57"/>
      <c r="N251" s="57"/>
      <c r="O251" s="57"/>
      <c r="P251" s="57"/>
      <c r="Q251" s="57"/>
    </row>
    <row r="252">
      <c r="A252" s="60" t="s">
        <v>47</v>
      </c>
      <c r="B252" s="60" t="s">
        <v>507</v>
      </c>
      <c r="C252" s="57"/>
      <c r="D252" s="57"/>
      <c r="E252" s="57"/>
      <c r="F252" s="57"/>
      <c r="G252" s="57"/>
      <c r="H252" s="57"/>
      <c r="I252" s="57"/>
      <c r="J252" s="57"/>
      <c r="K252" s="63"/>
      <c r="L252" s="57"/>
      <c r="M252" s="57"/>
      <c r="N252" s="57"/>
      <c r="O252" s="57"/>
      <c r="P252" s="57"/>
      <c r="Q252" s="57"/>
    </row>
    <row r="253">
      <c r="A253" s="60" t="s">
        <v>508</v>
      </c>
      <c r="B253" s="60" t="s">
        <v>509</v>
      </c>
      <c r="C253" s="57"/>
      <c r="D253" s="57"/>
      <c r="E253" s="57"/>
      <c r="F253" s="57"/>
      <c r="G253" s="57"/>
      <c r="H253" s="57"/>
      <c r="I253" s="57"/>
      <c r="J253" s="57"/>
      <c r="K253" s="63"/>
      <c r="L253" s="57"/>
      <c r="M253" s="57"/>
      <c r="N253" s="57"/>
      <c r="O253" s="57"/>
      <c r="P253" s="57"/>
      <c r="Q253" s="57"/>
    </row>
    <row r="254">
      <c r="A254" s="60" t="s">
        <v>510</v>
      </c>
      <c r="B254" s="60">
        <v>3.0</v>
      </c>
      <c r="C254" s="57"/>
      <c r="D254" s="57"/>
      <c r="E254" s="57"/>
      <c r="F254" s="57"/>
      <c r="G254" s="57"/>
      <c r="H254" s="57"/>
      <c r="I254" s="57"/>
      <c r="J254" s="57"/>
      <c r="K254" s="63"/>
      <c r="L254" s="57"/>
      <c r="M254" s="57"/>
      <c r="N254" s="57"/>
      <c r="O254" s="57"/>
      <c r="P254" s="57"/>
      <c r="Q254" s="57"/>
    </row>
    <row r="255">
      <c r="A255" s="60" t="s">
        <v>511</v>
      </c>
      <c r="B255" s="60" t="s">
        <v>509</v>
      </c>
      <c r="C255" s="57"/>
      <c r="D255" s="57"/>
      <c r="E255" s="57"/>
      <c r="F255" s="57"/>
      <c r="G255" s="57"/>
      <c r="H255" s="57"/>
      <c r="I255" s="57"/>
      <c r="J255" s="57"/>
      <c r="K255" s="63"/>
      <c r="L255" s="57"/>
      <c r="M255" s="57"/>
      <c r="N255" s="57"/>
      <c r="O255" s="57"/>
      <c r="P255" s="57"/>
      <c r="Q255" s="57"/>
    </row>
    <row r="256">
      <c r="A256" s="68" t="s">
        <v>188</v>
      </c>
      <c r="B256" s="60" t="s">
        <v>459</v>
      </c>
      <c r="C256" s="57"/>
      <c r="D256" s="57"/>
      <c r="E256" s="57"/>
      <c r="F256" s="57"/>
      <c r="G256" s="57"/>
      <c r="H256" s="57"/>
      <c r="I256" s="57"/>
      <c r="J256" s="57"/>
      <c r="K256" s="63"/>
      <c r="L256" s="57"/>
      <c r="M256" s="57"/>
      <c r="N256" s="57"/>
      <c r="O256" s="57"/>
      <c r="P256" s="57"/>
      <c r="Q256" s="57"/>
    </row>
    <row r="257">
      <c r="A257" s="60" t="s">
        <v>38</v>
      </c>
      <c r="B257" s="26"/>
      <c r="C257" s="57"/>
      <c r="D257" s="57"/>
      <c r="E257" s="65">
        <v>800.0</v>
      </c>
      <c r="F257" s="57">
        <f t="shared" ref="F257:F258" si="135">ROUNDDOWN(E257*1.1,0)</f>
        <v>880</v>
      </c>
      <c r="G257" s="57">
        <f t="shared" ref="G257:G258" si="136">ROUNDDOWN(E257*1.21,0)</f>
        <v>968</v>
      </c>
      <c r="H257" s="57">
        <f t="shared" ref="H257:H258" si="137">ROUNDDOWN(E257*1.33,0)</f>
        <v>1064</v>
      </c>
      <c r="I257" s="57">
        <f t="shared" ref="I257:I258" si="138">ROUNDDOWN(E257*1.46,0)</f>
        <v>1168</v>
      </c>
      <c r="J257" s="57">
        <f t="shared" ref="J257:J258" si="139">ROUNDDOWN(E257*1.6,0)</f>
        <v>1280</v>
      </c>
      <c r="K257" s="63">
        <f t="shared" ref="K257:K258" si="140">ROUNDDOWN(E257*1.76,0)</f>
        <v>1408</v>
      </c>
      <c r="L257" s="57">
        <f t="shared" ref="L257:L258" si="141">ROUNDDOWN(E257*1.93,0)</f>
        <v>1544</v>
      </c>
      <c r="M257" s="57">
        <f t="shared" ref="M257:M258" si="142">ROUNDDOWN(E257*2.12,0)</f>
        <v>1696</v>
      </c>
      <c r="N257" s="57">
        <f t="shared" ref="N257:N258" si="143">ROUNDDOWN(E257*2.33,0)</f>
        <v>1864</v>
      </c>
      <c r="O257" s="57">
        <f t="shared" ref="O257:O258" si="144">ROUNDDOWN(E257*2.56,0)</f>
        <v>2048</v>
      </c>
      <c r="P257" s="57">
        <f t="shared" ref="P257:P258" si="145">ROUNDDOWN(E257*2.81,0)</f>
        <v>2248</v>
      </c>
      <c r="Q257" s="57"/>
    </row>
    <row r="258">
      <c r="A258" s="60" t="s">
        <v>24</v>
      </c>
      <c r="B258" s="26"/>
      <c r="C258" s="57"/>
      <c r="D258" s="57"/>
      <c r="E258" s="65">
        <v>150.0</v>
      </c>
      <c r="F258" s="57">
        <f t="shared" si="135"/>
        <v>165</v>
      </c>
      <c r="G258" s="57">
        <f t="shared" si="136"/>
        <v>181</v>
      </c>
      <c r="H258" s="57">
        <f t="shared" si="137"/>
        <v>199</v>
      </c>
      <c r="I258" s="57">
        <f t="shared" si="138"/>
        <v>219</v>
      </c>
      <c r="J258" s="57">
        <f t="shared" si="139"/>
        <v>240</v>
      </c>
      <c r="K258" s="63">
        <f t="shared" si="140"/>
        <v>264</v>
      </c>
      <c r="L258" s="57">
        <f t="shared" si="141"/>
        <v>289</v>
      </c>
      <c r="M258" s="57">
        <f t="shared" si="142"/>
        <v>318</v>
      </c>
      <c r="N258" s="57">
        <f t="shared" si="143"/>
        <v>349</v>
      </c>
      <c r="O258" s="57">
        <f t="shared" si="144"/>
        <v>384</v>
      </c>
      <c r="P258" s="57">
        <f t="shared" si="145"/>
        <v>421</v>
      </c>
      <c r="Q258" s="57"/>
    </row>
    <row r="259">
      <c r="A259" s="60" t="s">
        <v>428</v>
      </c>
      <c r="B259" s="60" t="s">
        <v>512</v>
      </c>
      <c r="C259" s="57"/>
      <c r="D259" s="57"/>
      <c r="E259" s="57"/>
      <c r="F259" s="57"/>
      <c r="G259" s="57"/>
      <c r="H259" s="57"/>
      <c r="I259" s="57"/>
      <c r="J259" s="57"/>
      <c r="K259" s="63"/>
      <c r="L259" s="57"/>
      <c r="M259" s="57"/>
      <c r="N259" s="57"/>
      <c r="O259" s="57"/>
      <c r="P259" s="57"/>
      <c r="Q259" s="57"/>
    </row>
    <row r="260">
      <c r="A260" s="60" t="s">
        <v>55</v>
      </c>
      <c r="B260" s="60" t="s">
        <v>430</v>
      </c>
      <c r="C260" s="57"/>
      <c r="D260" s="57"/>
      <c r="E260" s="57"/>
      <c r="F260" s="57"/>
      <c r="G260" s="57"/>
      <c r="H260" s="57"/>
      <c r="I260" s="57"/>
      <c r="J260" s="57"/>
      <c r="K260" s="63"/>
      <c r="L260" s="57"/>
      <c r="M260" s="57"/>
      <c r="N260" s="57"/>
      <c r="O260" s="57"/>
      <c r="P260" s="57"/>
      <c r="Q260" s="57"/>
    </row>
    <row r="261">
      <c r="A261" s="60" t="s">
        <v>51</v>
      </c>
      <c r="B261" s="60" t="s">
        <v>482</v>
      </c>
      <c r="C261" s="57"/>
      <c r="D261" s="57"/>
      <c r="E261" s="57"/>
      <c r="F261" s="57"/>
      <c r="G261" s="57"/>
      <c r="H261" s="57"/>
      <c r="I261" s="57"/>
      <c r="J261" s="57"/>
      <c r="K261" s="63"/>
      <c r="L261" s="57"/>
      <c r="M261" s="57"/>
      <c r="N261" s="57"/>
      <c r="O261" s="57"/>
      <c r="P261" s="57"/>
      <c r="Q261" s="57"/>
    </row>
    <row r="262">
      <c r="A262" s="60" t="s">
        <v>49</v>
      </c>
      <c r="B262" s="60" t="s">
        <v>513</v>
      </c>
      <c r="C262" s="57"/>
      <c r="D262" s="57"/>
      <c r="E262" s="57"/>
      <c r="F262" s="57"/>
      <c r="G262" s="57"/>
      <c r="H262" s="57"/>
      <c r="I262" s="57"/>
      <c r="J262" s="57"/>
      <c r="K262" s="63"/>
      <c r="L262" s="57"/>
      <c r="M262" s="57"/>
      <c r="N262" s="57"/>
      <c r="O262" s="57"/>
      <c r="P262" s="57"/>
      <c r="Q262" s="57"/>
    </row>
    <row r="263">
      <c r="A263" s="60" t="s">
        <v>432</v>
      </c>
      <c r="B263" s="60" t="s">
        <v>430</v>
      </c>
      <c r="C263" s="57"/>
      <c r="D263" s="57"/>
      <c r="E263" s="57"/>
      <c r="F263" s="57"/>
      <c r="G263" s="57"/>
      <c r="H263" s="57"/>
      <c r="I263" s="57"/>
      <c r="J263" s="57"/>
      <c r="K263" s="63"/>
      <c r="L263" s="57"/>
      <c r="M263" s="57"/>
      <c r="N263" s="57"/>
      <c r="O263" s="57"/>
      <c r="P263" s="57"/>
      <c r="Q263" s="57"/>
    </row>
    <row r="264">
      <c r="A264" s="60" t="s">
        <v>53</v>
      </c>
      <c r="B264" s="60" t="s">
        <v>464</v>
      </c>
      <c r="C264" s="57"/>
      <c r="D264" s="57"/>
      <c r="E264" s="57"/>
      <c r="F264" s="57"/>
      <c r="G264" s="57"/>
      <c r="H264" s="57"/>
      <c r="I264" s="57"/>
      <c r="J264" s="57"/>
      <c r="K264" s="63"/>
      <c r="L264" s="57"/>
      <c r="M264" s="57"/>
      <c r="N264" s="57"/>
      <c r="O264" s="57"/>
      <c r="P264" s="57"/>
      <c r="Q264" s="57"/>
    </row>
    <row r="265">
      <c r="A265" s="60" t="s">
        <v>50</v>
      </c>
      <c r="B265" s="60" t="s">
        <v>109</v>
      </c>
      <c r="C265" s="57"/>
      <c r="D265" s="57"/>
      <c r="E265" s="57"/>
      <c r="F265" s="57"/>
      <c r="G265" s="57"/>
      <c r="H265" s="57"/>
      <c r="I265" s="57"/>
      <c r="J265" s="57"/>
      <c r="K265" s="63"/>
      <c r="L265" s="57"/>
      <c r="M265" s="57"/>
      <c r="N265" s="57"/>
      <c r="O265" s="57"/>
      <c r="P265" s="57"/>
      <c r="Q265" s="57"/>
    </row>
    <row r="266">
      <c r="A266" s="60" t="s">
        <v>438</v>
      </c>
      <c r="B266" s="60" t="s">
        <v>436</v>
      </c>
      <c r="C266" s="57"/>
      <c r="D266" s="57"/>
      <c r="E266" s="57"/>
      <c r="F266" s="57"/>
      <c r="G266" s="57"/>
      <c r="H266" s="57"/>
      <c r="I266" s="57"/>
      <c r="J266" s="57"/>
      <c r="K266" s="63"/>
      <c r="L266" s="57"/>
      <c r="M266" s="57"/>
      <c r="N266" s="57"/>
      <c r="O266" s="57"/>
      <c r="P266" s="57"/>
      <c r="Q266" s="57"/>
    </row>
    <row r="267">
      <c r="A267" s="60" t="s">
        <v>439</v>
      </c>
      <c r="B267" s="60" t="s">
        <v>502</v>
      </c>
      <c r="C267" s="57"/>
      <c r="D267" s="57"/>
      <c r="E267" s="57"/>
      <c r="F267" s="57"/>
      <c r="G267" s="57"/>
      <c r="H267" s="57"/>
      <c r="I267" s="57"/>
      <c r="J267" s="57"/>
      <c r="K267" s="63"/>
      <c r="L267" s="57"/>
      <c r="M267" s="57"/>
      <c r="N267" s="57"/>
      <c r="O267" s="57"/>
      <c r="P267" s="57"/>
      <c r="Q267" s="57"/>
    </row>
    <row r="268">
      <c r="A268" s="60" t="s">
        <v>441</v>
      </c>
      <c r="B268" s="60">
        <v>4.0</v>
      </c>
      <c r="C268" s="57"/>
      <c r="D268" s="57"/>
      <c r="E268" s="57"/>
      <c r="F268" s="57"/>
      <c r="G268" s="57"/>
      <c r="H268" s="57"/>
      <c r="I268" s="57"/>
      <c r="J268" s="57"/>
      <c r="K268" s="63"/>
      <c r="L268" s="57"/>
      <c r="M268" s="57"/>
      <c r="N268" s="57"/>
      <c r="O268" s="57"/>
      <c r="P268" s="57"/>
      <c r="Q268" s="57"/>
    </row>
    <row r="269">
      <c r="A269" s="60" t="s">
        <v>514</v>
      </c>
      <c r="B269" s="60" t="s">
        <v>424</v>
      </c>
      <c r="C269" s="57"/>
      <c r="D269" s="57"/>
      <c r="E269" s="57"/>
      <c r="F269" s="57"/>
      <c r="G269" s="57"/>
      <c r="H269" s="57"/>
      <c r="I269" s="57"/>
      <c r="J269" s="57"/>
      <c r="K269" s="63"/>
      <c r="L269" s="57"/>
      <c r="M269" s="57"/>
      <c r="N269" s="57"/>
      <c r="O269" s="57"/>
      <c r="P269" s="57"/>
      <c r="Q269" s="57"/>
    </row>
    <row r="270">
      <c r="A270" s="60" t="s">
        <v>515</v>
      </c>
      <c r="B270" s="60" t="s">
        <v>516</v>
      </c>
      <c r="C270" s="57"/>
      <c r="D270" s="57"/>
      <c r="E270" s="57"/>
      <c r="F270" s="57"/>
      <c r="G270" s="57"/>
      <c r="H270" s="57"/>
      <c r="I270" s="57"/>
      <c r="J270" s="57"/>
      <c r="K270" s="63"/>
      <c r="L270" s="57"/>
      <c r="M270" s="57"/>
      <c r="N270" s="57"/>
      <c r="O270" s="57"/>
      <c r="P270" s="57"/>
      <c r="Q270" s="57"/>
    </row>
    <row r="271">
      <c r="A271" s="60" t="s">
        <v>444</v>
      </c>
      <c r="B271" s="60" t="s">
        <v>445</v>
      </c>
      <c r="C271" s="57"/>
      <c r="D271" s="57"/>
      <c r="E271" s="57"/>
      <c r="F271" s="57"/>
      <c r="G271" s="57"/>
      <c r="H271" s="57"/>
      <c r="I271" s="57"/>
      <c r="J271" s="57"/>
      <c r="K271" s="63"/>
      <c r="L271" s="57"/>
      <c r="M271" s="57"/>
      <c r="N271" s="57"/>
      <c r="O271" s="57"/>
      <c r="P271" s="57"/>
      <c r="Q271" s="57"/>
    </row>
    <row r="272">
      <c r="A272" s="60" t="s">
        <v>446</v>
      </c>
      <c r="B272" s="60" t="s">
        <v>445</v>
      </c>
      <c r="C272" s="57"/>
      <c r="D272" s="57"/>
      <c r="E272" s="57"/>
      <c r="F272" s="57"/>
      <c r="G272" s="57"/>
      <c r="H272" s="57"/>
      <c r="I272" s="57"/>
      <c r="J272" s="57"/>
      <c r="K272" s="63"/>
      <c r="L272" s="57"/>
      <c r="M272" s="57"/>
      <c r="N272" s="57"/>
      <c r="O272" s="57"/>
      <c r="P272" s="57"/>
      <c r="Q272" s="57"/>
    </row>
    <row r="273">
      <c r="A273" s="60" t="s">
        <v>447</v>
      </c>
      <c r="B273" s="60" t="s">
        <v>448</v>
      </c>
      <c r="C273" s="57"/>
      <c r="D273" s="57"/>
      <c r="E273" s="57"/>
      <c r="F273" s="57"/>
      <c r="G273" s="57"/>
      <c r="H273" s="57"/>
      <c r="I273" s="57"/>
      <c r="J273" s="57"/>
      <c r="K273" s="63"/>
      <c r="L273" s="57"/>
      <c r="M273" s="57"/>
      <c r="N273" s="57"/>
      <c r="O273" s="57"/>
      <c r="P273" s="57"/>
      <c r="Q273" s="57"/>
    </row>
    <row r="274">
      <c r="A274" s="60" t="s">
        <v>477</v>
      </c>
      <c r="B274" s="60" t="s">
        <v>424</v>
      </c>
      <c r="C274" s="57"/>
      <c r="D274" s="57"/>
      <c r="E274" s="57"/>
      <c r="F274" s="57"/>
      <c r="G274" s="57"/>
      <c r="H274" s="57"/>
      <c r="I274" s="57"/>
      <c r="J274" s="57"/>
      <c r="K274" s="63"/>
      <c r="L274" s="57"/>
      <c r="M274" s="57"/>
      <c r="N274" s="57"/>
      <c r="O274" s="57"/>
      <c r="P274" s="57"/>
      <c r="Q274" s="57"/>
    </row>
    <row r="275">
      <c r="A275" s="60" t="s">
        <v>479</v>
      </c>
      <c r="B275" s="60" t="s">
        <v>424</v>
      </c>
      <c r="C275" s="57"/>
      <c r="D275" s="57"/>
      <c r="E275" s="57"/>
      <c r="F275" s="57"/>
      <c r="G275" s="57"/>
      <c r="H275" s="57"/>
      <c r="I275" s="57"/>
      <c r="J275" s="57"/>
      <c r="K275" s="63"/>
      <c r="L275" s="57"/>
      <c r="M275" s="57"/>
      <c r="N275" s="57"/>
      <c r="O275" s="57"/>
      <c r="P275" s="57"/>
      <c r="Q275" s="57"/>
    </row>
    <row r="276">
      <c r="A276" s="76" t="s">
        <v>147</v>
      </c>
      <c r="B276" s="60" t="s">
        <v>416</v>
      </c>
      <c r="C276" s="57"/>
      <c r="D276" s="57"/>
      <c r="E276" s="57"/>
      <c r="F276" s="57"/>
      <c r="G276" s="57"/>
      <c r="H276" s="57"/>
      <c r="I276" s="57"/>
      <c r="J276" s="57"/>
      <c r="K276" s="63"/>
      <c r="L276" s="57"/>
      <c r="M276" s="57"/>
      <c r="N276" s="57"/>
      <c r="O276" s="57"/>
      <c r="P276" s="57"/>
      <c r="Q276" s="57"/>
    </row>
    <row r="277">
      <c r="A277" s="69" t="s">
        <v>503</v>
      </c>
      <c r="B277" s="70"/>
      <c r="C277" s="57"/>
      <c r="D277" s="72"/>
      <c r="E277" s="72"/>
      <c r="F277" s="72"/>
      <c r="G277" s="72"/>
      <c r="H277" s="65">
        <f t="shared" ref="H277:P277" si="146">H$3</f>
        <v>6</v>
      </c>
      <c r="I277" s="65">
        <f t="shared" si="146"/>
        <v>7</v>
      </c>
      <c r="J277" s="65">
        <f t="shared" si="146"/>
        <v>8</v>
      </c>
      <c r="K277" s="66">
        <f t="shared" si="146"/>
        <v>9</v>
      </c>
      <c r="L277" s="65">
        <f t="shared" si="146"/>
        <v>10</v>
      </c>
      <c r="M277" s="65">
        <f t="shared" si="146"/>
        <v>11</v>
      </c>
      <c r="N277" s="65">
        <f t="shared" si="146"/>
        <v>12</v>
      </c>
      <c r="O277" s="65">
        <f t="shared" si="146"/>
        <v>13</v>
      </c>
      <c r="P277" s="65">
        <f t="shared" si="146"/>
        <v>14</v>
      </c>
      <c r="Q277" s="72"/>
    </row>
    <row r="278">
      <c r="A278" s="69" t="s">
        <v>422</v>
      </c>
      <c r="B278" s="69" t="s">
        <v>517</v>
      </c>
      <c r="C278" s="72"/>
      <c r="D278" s="72"/>
      <c r="E278" s="72"/>
      <c r="F278" s="72"/>
      <c r="G278" s="72"/>
      <c r="H278" s="72"/>
      <c r="I278" s="72"/>
      <c r="J278" s="72"/>
      <c r="K278" s="73"/>
      <c r="L278" s="72"/>
      <c r="M278" s="72"/>
      <c r="N278" s="72"/>
      <c r="O278" s="72"/>
      <c r="P278" s="72"/>
      <c r="Q278" s="72"/>
    </row>
    <row r="279">
      <c r="A279" s="69" t="s">
        <v>80</v>
      </c>
      <c r="B279" s="69" t="s">
        <v>443</v>
      </c>
      <c r="C279" s="72"/>
      <c r="D279" s="72"/>
      <c r="E279" s="72"/>
      <c r="F279" s="72"/>
      <c r="G279" s="72"/>
      <c r="H279" s="72"/>
      <c r="I279" s="72"/>
      <c r="J279" s="72"/>
      <c r="K279" s="73"/>
      <c r="L279" s="72"/>
      <c r="M279" s="72"/>
      <c r="N279" s="72"/>
      <c r="O279" s="72"/>
      <c r="P279" s="72"/>
      <c r="Q279" s="72"/>
    </row>
    <row r="280">
      <c r="A280" s="69" t="s">
        <v>426</v>
      </c>
      <c r="B280" s="69" t="s">
        <v>518</v>
      </c>
      <c r="C280" s="72"/>
      <c r="D280" s="72"/>
      <c r="E280" s="72"/>
      <c r="F280" s="72"/>
      <c r="G280" s="72"/>
      <c r="H280" s="72"/>
      <c r="I280" s="72"/>
      <c r="J280" s="72"/>
      <c r="K280" s="73"/>
      <c r="L280" s="72"/>
      <c r="M280" s="72"/>
      <c r="N280" s="72"/>
      <c r="O280" s="72"/>
      <c r="P280" s="72"/>
      <c r="Q280" s="72"/>
    </row>
    <row r="281">
      <c r="A281" s="69" t="s">
        <v>519</v>
      </c>
      <c r="B281" s="69" t="s">
        <v>453</v>
      </c>
      <c r="C281" s="72"/>
      <c r="D281" s="72"/>
      <c r="E281" s="72"/>
      <c r="F281" s="72"/>
      <c r="G281" s="72"/>
      <c r="H281" s="72"/>
      <c r="I281" s="72"/>
      <c r="J281" s="72"/>
      <c r="K281" s="73"/>
      <c r="L281" s="72"/>
      <c r="M281" s="72"/>
      <c r="N281" s="72"/>
      <c r="O281" s="72"/>
      <c r="P281" s="72"/>
      <c r="Q281" s="72"/>
    </row>
    <row r="282">
      <c r="A282" s="69" t="s">
        <v>508</v>
      </c>
      <c r="B282" s="69" t="s">
        <v>324</v>
      </c>
      <c r="C282" s="72"/>
      <c r="D282" s="72"/>
      <c r="E282" s="72"/>
      <c r="F282" s="72"/>
      <c r="G282" s="72"/>
      <c r="H282" s="72"/>
      <c r="I282" s="72"/>
      <c r="J282" s="72"/>
      <c r="K282" s="73"/>
      <c r="L282" s="72"/>
      <c r="M282" s="72"/>
      <c r="N282" s="72"/>
      <c r="O282" s="72"/>
      <c r="P282" s="72"/>
      <c r="Q282" s="72"/>
    </row>
    <row r="283">
      <c r="A283" s="69" t="s">
        <v>520</v>
      </c>
      <c r="B283" s="69">
        <v>3.0</v>
      </c>
      <c r="C283" s="72"/>
      <c r="D283" s="72"/>
      <c r="E283" s="72"/>
      <c r="F283" s="72"/>
      <c r="G283" s="72"/>
      <c r="H283" s="72"/>
      <c r="I283" s="72"/>
      <c r="J283" s="72"/>
      <c r="K283" s="73"/>
      <c r="L283" s="72"/>
      <c r="M283" s="72"/>
      <c r="N283" s="72"/>
      <c r="O283" s="72"/>
      <c r="P283" s="72"/>
      <c r="Q283" s="72"/>
    </row>
    <row r="284">
      <c r="A284" s="76" t="s">
        <v>256</v>
      </c>
      <c r="B284" s="60" t="s">
        <v>459</v>
      </c>
      <c r="C284" s="57"/>
      <c r="D284" s="57"/>
      <c r="E284" s="57"/>
      <c r="F284" s="57"/>
      <c r="G284" s="57"/>
      <c r="H284" s="57"/>
      <c r="I284" s="57"/>
      <c r="J284" s="57"/>
      <c r="K284" s="63"/>
      <c r="L284" s="57"/>
      <c r="M284" s="57"/>
      <c r="N284" s="57"/>
      <c r="O284" s="57"/>
      <c r="P284" s="57"/>
      <c r="Q284" s="57"/>
    </row>
    <row r="285">
      <c r="A285" s="60" t="s">
        <v>38</v>
      </c>
      <c r="B285" s="60"/>
      <c r="C285" s="57"/>
      <c r="D285" s="57"/>
      <c r="E285" s="57"/>
      <c r="F285" s="57"/>
      <c r="G285" s="57"/>
      <c r="H285" s="65">
        <v>524.0</v>
      </c>
      <c r="I285" s="57">
        <f t="shared" ref="I285:I286" si="147">ROUNDDOWN(H285*1.1,0)</f>
        <v>576</v>
      </c>
      <c r="J285" s="57">
        <f t="shared" ref="J285:J286" si="148">ROUNDDOWN(H285*1.21,0)</f>
        <v>634</v>
      </c>
      <c r="K285" s="63">
        <f t="shared" ref="K285:K286" si="149">ROUNDDOWN(H285*1.33,0)</f>
        <v>696</v>
      </c>
      <c r="L285" s="57">
        <f t="shared" ref="L285:L286" si="150">ROUNDDOWN(H285*1.46,0)</f>
        <v>765</v>
      </c>
      <c r="M285" s="57">
        <f t="shared" ref="M285:M286" si="151">ROUNDDOWN(H285*1.6,0)</f>
        <v>838</v>
      </c>
      <c r="N285" s="57">
        <f t="shared" ref="N285:N286" si="152">ROUNDDOWN(H285*1.76,0)</f>
        <v>922</v>
      </c>
      <c r="O285" s="57">
        <f t="shared" ref="O285:O286" si="153">ROUNDDOWN(H285*1.93,0)</f>
        <v>1011</v>
      </c>
      <c r="P285" s="57">
        <f t="shared" ref="P285:P286" si="154">ROUNDDOWN(H285*2.12,0)</f>
        <v>1110</v>
      </c>
      <c r="Q285" s="57"/>
    </row>
    <row r="286">
      <c r="A286" s="60" t="s">
        <v>24</v>
      </c>
      <c r="B286" s="60"/>
      <c r="C286" s="57"/>
      <c r="D286" s="57"/>
      <c r="E286" s="57"/>
      <c r="F286" s="57"/>
      <c r="G286" s="57"/>
      <c r="H286" s="65">
        <v>53.0</v>
      </c>
      <c r="I286" s="57">
        <f t="shared" si="147"/>
        <v>58</v>
      </c>
      <c r="J286" s="57">
        <f t="shared" si="148"/>
        <v>64</v>
      </c>
      <c r="K286" s="63">
        <f t="shared" si="149"/>
        <v>70</v>
      </c>
      <c r="L286" s="57">
        <f t="shared" si="150"/>
        <v>77</v>
      </c>
      <c r="M286" s="57">
        <f t="shared" si="151"/>
        <v>84</v>
      </c>
      <c r="N286" s="57">
        <f t="shared" si="152"/>
        <v>93</v>
      </c>
      <c r="O286" s="57">
        <f t="shared" si="153"/>
        <v>102</v>
      </c>
      <c r="P286" s="57">
        <f t="shared" si="154"/>
        <v>112</v>
      </c>
      <c r="Q286" s="57"/>
    </row>
    <row r="287">
      <c r="A287" s="60" t="s">
        <v>428</v>
      </c>
      <c r="B287" s="60" t="s">
        <v>429</v>
      </c>
      <c r="C287" s="57"/>
      <c r="D287" s="57"/>
      <c r="E287" s="57"/>
      <c r="F287" s="57"/>
      <c r="G287" s="57"/>
      <c r="H287" s="57"/>
      <c r="I287" s="57"/>
      <c r="J287" s="57"/>
      <c r="K287" s="63"/>
      <c r="L287" s="57"/>
      <c r="M287" s="57"/>
      <c r="N287" s="57"/>
      <c r="O287" s="57"/>
      <c r="P287" s="57"/>
      <c r="Q287" s="57"/>
    </row>
    <row r="288">
      <c r="A288" s="60" t="s">
        <v>55</v>
      </c>
      <c r="B288" s="60" t="s">
        <v>430</v>
      </c>
      <c r="C288" s="57"/>
      <c r="D288" s="57"/>
      <c r="E288" s="57"/>
      <c r="F288" s="57"/>
      <c r="G288" s="57"/>
      <c r="H288" s="57"/>
      <c r="I288" s="57"/>
      <c r="J288" s="57"/>
      <c r="K288" s="63"/>
      <c r="L288" s="57"/>
      <c r="M288" s="57"/>
      <c r="N288" s="57"/>
      <c r="O288" s="57"/>
      <c r="P288" s="57"/>
      <c r="Q288" s="57"/>
    </row>
    <row r="289">
      <c r="A289" s="60" t="s">
        <v>51</v>
      </c>
      <c r="B289" s="60" t="s">
        <v>451</v>
      </c>
      <c r="C289" s="57"/>
      <c r="D289" s="57"/>
      <c r="E289" s="57"/>
      <c r="F289" s="57"/>
      <c r="G289" s="57"/>
      <c r="H289" s="57"/>
      <c r="I289" s="57"/>
      <c r="J289" s="57"/>
      <c r="K289" s="63"/>
      <c r="L289" s="57"/>
      <c r="M289" s="57"/>
      <c r="N289" s="57"/>
      <c r="O289" s="57"/>
      <c r="P289" s="57"/>
      <c r="Q289" s="57"/>
    </row>
    <row r="290">
      <c r="A290" s="60" t="s">
        <v>49</v>
      </c>
      <c r="B290" s="60" t="s">
        <v>521</v>
      </c>
      <c r="C290" s="57"/>
      <c r="D290" s="57"/>
      <c r="E290" s="57"/>
      <c r="F290" s="57"/>
      <c r="G290" s="57"/>
      <c r="H290" s="57"/>
      <c r="I290" s="57"/>
      <c r="J290" s="57"/>
      <c r="K290" s="63"/>
      <c r="L290" s="57"/>
      <c r="M290" s="57"/>
      <c r="N290" s="57"/>
      <c r="O290" s="57"/>
      <c r="P290" s="57"/>
      <c r="Q290" s="57"/>
    </row>
    <row r="291">
      <c r="A291" s="60" t="s">
        <v>432</v>
      </c>
      <c r="B291" s="60" t="s">
        <v>453</v>
      </c>
      <c r="C291" s="57"/>
      <c r="D291" s="57"/>
      <c r="E291" s="57"/>
      <c r="F291" s="57"/>
      <c r="G291" s="57"/>
      <c r="H291" s="57"/>
      <c r="I291" s="57"/>
      <c r="J291" s="57"/>
      <c r="K291" s="63"/>
      <c r="L291" s="57"/>
      <c r="M291" s="57"/>
      <c r="N291" s="57"/>
      <c r="O291" s="57"/>
      <c r="P291" s="57"/>
      <c r="Q291" s="57"/>
    </row>
    <row r="292">
      <c r="A292" s="60" t="s">
        <v>422</v>
      </c>
      <c r="B292" s="60" t="s">
        <v>522</v>
      </c>
      <c r="C292" s="57"/>
      <c r="D292" s="57"/>
      <c r="E292" s="57"/>
      <c r="F292" s="57"/>
      <c r="G292" s="57"/>
      <c r="H292" s="57"/>
      <c r="I292" s="57"/>
      <c r="J292" s="57"/>
      <c r="K292" s="63"/>
      <c r="L292" s="57"/>
      <c r="M292" s="57"/>
      <c r="N292" s="57"/>
      <c r="O292" s="57"/>
      <c r="P292" s="57"/>
      <c r="Q292" s="57"/>
    </row>
    <row r="293">
      <c r="A293" s="60" t="s">
        <v>435</v>
      </c>
      <c r="B293" s="60" t="s">
        <v>472</v>
      </c>
      <c r="C293" s="57"/>
      <c r="D293" s="57"/>
      <c r="E293" s="57"/>
      <c r="F293" s="57"/>
      <c r="G293" s="57"/>
      <c r="H293" s="57"/>
      <c r="I293" s="57"/>
      <c r="J293" s="57"/>
      <c r="K293" s="63"/>
      <c r="L293" s="57"/>
      <c r="M293" s="57"/>
      <c r="N293" s="57"/>
      <c r="O293" s="57"/>
      <c r="P293" s="57"/>
      <c r="Q293" s="57"/>
    </row>
    <row r="294">
      <c r="A294" s="60" t="s">
        <v>523</v>
      </c>
      <c r="B294" s="60" t="s">
        <v>524</v>
      </c>
      <c r="C294" s="57"/>
      <c r="D294" s="57"/>
      <c r="E294" s="57"/>
      <c r="F294" s="57"/>
      <c r="G294" s="57"/>
      <c r="H294" s="57"/>
      <c r="I294" s="57"/>
      <c r="J294" s="57"/>
      <c r="K294" s="63"/>
      <c r="L294" s="57"/>
      <c r="M294" s="57"/>
      <c r="N294" s="57"/>
      <c r="O294" s="57"/>
      <c r="P294" s="57"/>
      <c r="Q294" s="57"/>
    </row>
    <row r="295">
      <c r="A295" s="60" t="s">
        <v>54</v>
      </c>
      <c r="B295" s="60" t="s">
        <v>525</v>
      </c>
      <c r="C295" s="57"/>
      <c r="D295" s="57"/>
      <c r="E295" s="57"/>
      <c r="F295" s="57"/>
      <c r="G295" s="57"/>
      <c r="H295" s="57"/>
      <c r="I295" s="57"/>
      <c r="J295" s="57"/>
      <c r="K295" s="63"/>
      <c r="L295" s="57"/>
      <c r="M295" s="57"/>
      <c r="N295" s="57"/>
      <c r="O295" s="57"/>
      <c r="P295" s="57"/>
      <c r="Q295" s="57"/>
    </row>
    <row r="296">
      <c r="A296" s="60" t="s">
        <v>526</v>
      </c>
      <c r="B296" s="60" t="s">
        <v>505</v>
      </c>
      <c r="C296" s="57"/>
      <c r="D296" s="57"/>
      <c r="E296" s="57"/>
      <c r="F296" s="57"/>
      <c r="G296" s="57"/>
      <c r="H296" s="57"/>
      <c r="I296" s="57"/>
      <c r="J296" s="57"/>
      <c r="K296" s="63"/>
      <c r="L296" s="57"/>
      <c r="M296" s="57"/>
      <c r="N296" s="57"/>
      <c r="O296" s="57"/>
      <c r="P296" s="57"/>
      <c r="Q296" s="57"/>
    </row>
    <row r="297">
      <c r="A297" s="60" t="s">
        <v>527</v>
      </c>
      <c r="B297" s="60" t="s">
        <v>433</v>
      </c>
      <c r="C297" s="57"/>
      <c r="D297" s="57"/>
      <c r="E297" s="57"/>
      <c r="F297" s="57"/>
      <c r="G297" s="57"/>
      <c r="H297" s="57"/>
      <c r="I297" s="57"/>
      <c r="J297" s="57"/>
      <c r="K297" s="63"/>
      <c r="L297" s="57"/>
      <c r="M297" s="57"/>
      <c r="N297" s="57"/>
      <c r="O297" s="57"/>
      <c r="P297" s="57"/>
      <c r="Q297" s="57"/>
    </row>
    <row r="298">
      <c r="A298" s="60" t="s">
        <v>528</v>
      </c>
      <c r="B298" s="60" t="s">
        <v>529</v>
      </c>
      <c r="C298" s="57"/>
      <c r="D298" s="57"/>
      <c r="E298" s="57"/>
      <c r="F298" s="57"/>
      <c r="G298" s="57"/>
      <c r="H298" s="57"/>
      <c r="I298" s="57"/>
      <c r="J298" s="57"/>
      <c r="K298" s="63"/>
      <c r="L298" s="57"/>
      <c r="M298" s="57"/>
      <c r="N298" s="57"/>
      <c r="O298" s="57"/>
      <c r="P298" s="57"/>
      <c r="Q298" s="57"/>
    </row>
    <row r="299">
      <c r="A299" s="60" t="s">
        <v>530</v>
      </c>
      <c r="B299" s="60" t="s">
        <v>421</v>
      </c>
      <c r="C299" s="57"/>
      <c r="D299" s="57"/>
      <c r="E299" s="57"/>
      <c r="F299" s="57"/>
      <c r="G299" s="57"/>
      <c r="H299" s="57"/>
      <c r="I299" s="57"/>
      <c r="J299" s="57"/>
      <c r="K299" s="63"/>
      <c r="L299" s="57"/>
      <c r="M299" s="57"/>
      <c r="N299" s="57"/>
      <c r="O299" s="57"/>
      <c r="P299" s="57"/>
      <c r="Q299" s="57"/>
    </row>
    <row r="300">
      <c r="A300" s="60" t="s">
        <v>531</v>
      </c>
      <c r="B300" s="60">
        <v>10.0</v>
      </c>
      <c r="C300" s="57"/>
      <c r="D300" s="57"/>
      <c r="E300" s="57"/>
      <c r="F300" s="57"/>
      <c r="G300" s="57"/>
      <c r="H300" s="57"/>
      <c r="I300" s="57"/>
      <c r="J300" s="57"/>
      <c r="K300" s="63"/>
      <c r="L300" s="57"/>
      <c r="M300" s="57"/>
      <c r="N300" s="57"/>
      <c r="O300" s="57"/>
      <c r="P300" s="57"/>
      <c r="Q300" s="57"/>
    </row>
    <row r="301">
      <c r="A301" s="60" t="s">
        <v>53</v>
      </c>
      <c r="B301" s="60" t="s">
        <v>424</v>
      </c>
      <c r="C301" s="57"/>
      <c r="D301" s="57"/>
      <c r="E301" s="57"/>
      <c r="F301" s="57"/>
      <c r="G301" s="57"/>
      <c r="H301" s="57"/>
      <c r="I301" s="57"/>
      <c r="J301" s="57"/>
      <c r="K301" s="63"/>
      <c r="L301" s="57"/>
      <c r="M301" s="57"/>
      <c r="N301" s="57"/>
      <c r="O301" s="57"/>
      <c r="P301" s="57"/>
      <c r="Q301" s="57"/>
    </row>
    <row r="302">
      <c r="A302" s="60" t="s">
        <v>50</v>
      </c>
      <c r="B302" s="60" t="s">
        <v>425</v>
      </c>
      <c r="C302" s="57"/>
      <c r="D302" s="57"/>
      <c r="E302" s="57"/>
      <c r="F302" s="57"/>
      <c r="G302" s="57"/>
      <c r="H302" s="57"/>
      <c r="I302" s="57"/>
      <c r="J302" s="57"/>
      <c r="K302" s="63"/>
      <c r="L302" s="57"/>
      <c r="M302" s="57"/>
      <c r="N302" s="57"/>
      <c r="O302" s="57"/>
      <c r="P302" s="57"/>
      <c r="Q302" s="57"/>
    </row>
    <row r="303">
      <c r="A303" s="60" t="s">
        <v>483</v>
      </c>
      <c r="B303" s="60" t="s">
        <v>532</v>
      </c>
      <c r="C303" s="57"/>
      <c r="D303" s="57"/>
      <c r="E303" s="57"/>
      <c r="F303" s="57"/>
      <c r="G303" s="57"/>
      <c r="H303" s="57"/>
      <c r="I303" s="57"/>
      <c r="J303" s="57"/>
      <c r="K303" s="63"/>
      <c r="L303" s="57"/>
      <c r="M303" s="57"/>
      <c r="N303" s="57"/>
      <c r="O303" s="57"/>
      <c r="P303" s="57"/>
      <c r="Q303" s="57"/>
    </row>
    <row r="304">
      <c r="A304" s="60" t="s">
        <v>438</v>
      </c>
      <c r="B304" s="60" t="s">
        <v>436</v>
      </c>
      <c r="C304" s="57"/>
      <c r="D304" s="57"/>
      <c r="E304" s="57"/>
      <c r="F304" s="57"/>
      <c r="G304" s="57"/>
      <c r="H304" s="57"/>
      <c r="I304" s="57"/>
      <c r="J304" s="57"/>
      <c r="K304" s="63"/>
      <c r="L304" s="57"/>
      <c r="M304" s="57"/>
      <c r="N304" s="57"/>
      <c r="O304" s="57"/>
      <c r="P304" s="57"/>
      <c r="Q304" s="57"/>
    </row>
    <row r="305">
      <c r="A305" s="60" t="s">
        <v>439</v>
      </c>
      <c r="B305" s="60" t="s">
        <v>502</v>
      </c>
      <c r="C305" s="57"/>
      <c r="D305" s="57"/>
      <c r="E305" s="57"/>
      <c r="F305" s="57"/>
      <c r="G305" s="57"/>
      <c r="H305" s="57"/>
      <c r="I305" s="57"/>
      <c r="J305" s="57"/>
      <c r="K305" s="63"/>
      <c r="L305" s="57"/>
      <c r="M305" s="57"/>
      <c r="N305" s="57"/>
      <c r="O305" s="57"/>
      <c r="P305" s="57"/>
      <c r="Q305" s="57"/>
    </row>
    <row r="306">
      <c r="A306" s="60" t="s">
        <v>441</v>
      </c>
      <c r="B306" s="60">
        <v>5.0</v>
      </c>
      <c r="C306" s="57"/>
      <c r="D306" s="57"/>
      <c r="E306" s="57"/>
      <c r="F306" s="57"/>
      <c r="G306" s="57"/>
      <c r="H306" s="57"/>
      <c r="I306" s="57"/>
      <c r="J306" s="57"/>
      <c r="K306" s="63"/>
      <c r="L306" s="57"/>
      <c r="M306" s="57"/>
      <c r="N306" s="57"/>
      <c r="O306" s="57"/>
      <c r="P306" s="57"/>
      <c r="Q306" s="57"/>
    </row>
    <row r="307">
      <c r="A307" s="60" t="s">
        <v>444</v>
      </c>
      <c r="B307" s="60" t="s">
        <v>505</v>
      </c>
      <c r="C307" s="57"/>
      <c r="D307" s="57"/>
      <c r="E307" s="57"/>
      <c r="F307" s="57"/>
      <c r="G307" s="57"/>
      <c r="H307" s="57"/>
      <c r="I307" s="57"/>
      <c r="J307" s="57"/>
      <c r="K307" s="63"/>
      <c r="L307" s="57"/>
      <c r="M307" s="57"/>
      <c r="N307" s="57"/>
      <c r="O307" s="57"/>
      <c r="P307" s="57"/>
      <c r="Q307" s="57"/>
    </row>
    <row r="308">
      <c r="A308" s="60" t="s">
        <v>446</v>
      </c>
      <c r="B308" s="60" t="s">
        <v>445</v>
      </c>
      <c r="C308" s="57"/>
      <c r="D308" s="57"/>
      <c r="E308" s="57"/>
      <c r="F308" s="57"/>
      <c r="G308" s="57"/>
      <c r="H308" s="57"/>
      <c r="I308" s="57"/>
      <c r="J308" s="57"/>
      <c r="K308" s="63"/>
      <c r="L308" s="57"/>
      <c r="M308" s="57"/>
      <c r="N308" s="57"/>
      <c r="O308" s="57"/>
      <c r="P308" s="57"/>
      <c r="Q308" s="57"/>
    </row>
    <row r="309">
      <c r="A309" s="60" t="s">
        <v>447</v>
      </c>
      <c r="B309" s="60" t="s">
        <v>466</v>
      </c>
      <c r="C309" s="57"/>
      <c r="D309" s="57"/>
      <c r="E309" s="57"/>
      <c r="F309" s="57"/>
      <c r="G309" s="57"/>
      <c r="H309" s="57"/>
      <c r="I309" s="57"/>
      <c r="J309" s="57"/>
      <c r="K309" s="63"/>
      <c r="L309" s="57"/>
      <c r="M309" s="57"/>
      <c r="N309" s="57"/>
      <c r="O309" s="57"/>
      <c r="P309" s="57"/>
      <c r="Q309" s="57"/>
    </row>
    <row r="310">
      <c r="A310" s="67" t="s">
        <v>123</v>
      </c>
      <c r="B310" s="60" t="s">
        <v>480</v>
      </c>
      <c r="C310" s="57"/>
      <c r="D310" s="57"/>
      <c r="E310" s="57"/>
      <c r="F310" s="57"/>
      <c r="G310" s="57"/>
      <c r="H310" s="57"/>
      <c r="I310" s="57"/>
      <c r="J310" s="57"/>
      <c r="K310" s="63"/>
      <c r="L310" s="57"/>
      <c r="M310" s="57"/>
      <c r="N310" s="57"/>
      <c r="O310" s="57"/>
      <c r="P310" s="57"/>
      <c r="Q310" s="57"/>
    </row>
    <row r="311">
      <c r="A311" s="69" t="s">
        <v>38</v>
      </c>
      <c r="B311" s="26"/>
      <c r="C311" s="65">
        <v>130.0</v>
      </c>
      <c r="D311" s="57">
        <f t="shared" ref="D311:D312" si="155">ROUNDDOWN(C311*1.1,0)</f>
        <v>143</v>
      </c>
      <c r="E311" s="57">
        <f t="shared" ref="E311:E312" si="156">ROUNDDOWN(C311*1.21,0)</f>
        <v>157</v>
      </c>
      <c r="F311" s="57">
        <f t="shared" ref="F311:F312" si="157">ROUNDDOWN(C311*1.33,0)</f>
        <v>172</v>
      </c>
      <c r="G311" s="57">
        <f t="shared" ref="G311:G312" si="158">ROUNDDOWN(C311*1.46,0)</f>
        <v>189</v>
      </c>
      <c r="H311" s="57">
        <f t="shared" ref="H311:H312" si="159">ROUNDDOWN(C311*1.6,0)</f>
        <v>208</v>
      </c>
      <c r="I311" s="57">
        <f t="shared" ref="I311:I312" si="160">ROUNDDOWN(C311*1.76,0)</f>
        <v>228</v>
      </c>
      <c r="J311" s="57">
        <f t="shared" ref="J311:J312" si="161">ROUNDDOWN(C311*1.93,0)</f>
        <v>250</v>
      </c>
      <c r="K311" s="63">
        <f t="shared" ref="K311:K312" si="162">ROUNDDOWN(C311*2.12,0)</f>
        <v>275</v>
      </c>
      <c r="L311" s="57">
        <f t="shared" ref="L311:L312" si="163">ROUNDDOWN(C311*2.33,0)</f>
        <v>302</v>
      </c>
      <c r="M311" s="57">
        <f t="shared" ref="M311:M312" si="164">ROUNDDOWN(C311*2.56,0)</f>
        <v>332</v>
      </c>
      <c r="N311" s="57">
        <f t="shared" ref="N311:N312" si="165">ROUNDDOWN(C311*2.81,0)</f>
        <v>365</v>
      </c>
      <c r="O311" s="57">
        <f t="shared" ref="O311:O312" si="166">ROUNDDOWN(C311*3.09,0)</f>
        <v>401</v>
      </c>
      <c r="P311" s="57">
        <f t="shared" ref="P311:P312" si="167">ROUNDDOWN(C311*3.39,0)</f>
        <v>440</v>
      </c>
      <c r="Q311" s="57"/>
    </row>
    <row r="312">
      <c r="A312" s="69" t="s">
        <v>24</v>
      </c>
      <c r="B312" s="26"/>
      <c r="C312" s="65">
        <v>87.0</v>
      </c>
      <c r="D312" s="57">
        <f t="shared" si="155"/>
        <v>95</v>
      </c>
      <c r="E312" s="57">
        <f t="shared" si="156"/>
        <v>105</v>
      </c>
      <c r="F312" s="57">
        <f t="shared" si="157"/>
        <v>115</v>
      </c>
      <c r="G312" s="57">
        <f t="shared" si="158"/>
        <v>127</v>
      </c>
      <c r="H312" s="57">
        <f t="shared" si="159"/>
        <v>139</v>
      </c>
      <c r="I312" s="57">
        <f t="shared" si="160"/>
        <v>153</v>
      </c>
      <c r="J312" s="57">
        <f t="shared" si="161"/>
        <v>167</v>
      </c>
      <c r="K312" s="63">
        <f t="shared" si="162"/>
        <v>184</v>
      </c>
      <c r="L312" s="57">
        <f t="shared" si="163"/>
        <v>202</v>
      </c>
      <c r="M312" s="57">
        <f t="shared" si="164"/>
        <v>222</v>
      </c>
      <c r="N312" s="57">
        <f t="shared" si="165"/>
        <v>244</v>
      </c>
      <c r="O312" s="57">
        <f t="shared" si="166"/>
        <v>268</v>
      </c>
      <c r="P312" s="57">
        <f t="shared" si="167"/>
        <v>294</v>
      </c>
      <c r="Q312" s="57"/>
    </row>
    <row r="313">
      <c r="A313" s="69" t="s">
        <v>428</v>
      </c>
      <c r="B313" s="60" t="s">
        <v>429</v>
      </c>
      <c r="C313" s="57"/>
      <c r="D313" s="57"/>
      <c r="E313" s="57"/>
      <c r="F313" s="57"/>
      <c r="G313" s="57"/>
      <c r="H313" s="57"/>
      <c r="I313" s="57"/>
      <c r="J313" s="57"/>
      <c r="K313" s="63"/>
      <c r="L313" s="57"/>
      <c r="M313" s="57"/>
      <c r="N313" s="57"/>
      <c r="O313" s="57"/>
      <c r="P313" s="57"/>
      <c r="Q313" s="57"/>
    </row>
    <row r="314">
      <c r="A314" s="69" t="s">
        <v>55</v>
      </c>
      <c r="B314" s="60" t="s">
        <v>430</v>
      </c>
      <c r="C314" s="57"/>
      <c r="D314" s="57"/>
      <c r="E314" s="57"/>
      <c r="F314" s="57"/>
      <c r="G314" s="57"/>
      <c r="H314" s="57"/>
      <c r="I314" s="57"/>
      <c r="J314" s="57"/>
      <c r="K314" s="63"/>
      <c r="L314" s="57"/>
      <c r="M314" s="57"/>
      <c r="N314" s="57"/>
      <c r="O314" s="57"/>
      <c r="P314" s="57"/>
      <c r="Q314" s="57"/>
    </row>
    <row r="315">
      <c r="A315" s="69" t="s">
        <v>51</v>
      </c>
      <c r="B315" s="60" t="s">
        <v>451</v>
      </c>
      <c r="C315" s="57"/>
      <c r="D315" s="57"/>
      <c r="E315" s="57"/>
      <c r="F315" s="57"/>
      <c r="G315" s="57"/>
      <c r="H315" s="57"/>
      <c r="I315" s="57"/>
      <c r="J315" s="57"/>
      <c r="K315" s="63"/>
      <c r="L315" s="57"/>
      <c r="M315" s="57"/>
      <c r="N315" s="57"/>
      <c r="O315" s="57"/>
      <c r="P315" s="57"/>
      <c r="Q315" s="57"/>
    </row>
    <row r="316">
      <c r="A316" s="69" t="s">
        <v>49</v>
      </c>
      <c r="B316" s="60" t="s">
        <v>533</v>
      </c>
      <c r="C316" s="57"/>
      <c r="D316" s="57"/>
      <c r="E316" s="57"/>
      <c r="F316" s="57"/>
      <c r="G316" s="57"/>
      <c r="H316" s="57"/>
      <c r="I316" s="57"/>
      <c r="J316" s="57"/>
      <c r="K316" s="63"/>
      <c r="L316" s="57"/>
      <c r="M316" s="57"/>
      <c r="N316" s="57"/>
      <c r="O316" s="57"/>
      <c r="P316" s="57"/>
      <c r="Q316" s="57"/>
    </row>
    <row r="317">
      <c r="A317" s="69" t="s">
        <v>432</v>
      </c>
      <c r="B317" s="60" t="s">
        <v>513</v>
      </c>
      <c r="C317" s="57"/>
      <c r="D317" s="57"/>
      <c r="E317" s="57"/>
      <c r="F317" s="57"/>
      <c r="G317" s="57"/>
      <c r="H317" s="57"/>
      <c r="I317" s="57"/>
      <c r="J317" s="57"/>
      <c r="K317" s="63"/>
      <c r="L317" s="57"/>
      <c r="M317" s="57"/>
      <c r="N317" s="57"/>
      <c r="O317" s="57"/>
      <c r="P317" s="57"/>
      <c r="Q317" s="57"/>
    </row>
    <row r="318">
      <c r="A318" s="69" t="s">
        <v>422</v>
      </c>
      <c r="B318" s="60" t="s">
        <v>517</v>
      </c>
      <c r="C318" s="57"/>
      <c r="D318" s="57"/>
      <c r="E318" s="57"/>
      <c r="F318" s="57"/>
      <c r="G318" s="57"/>
      <c r="H318" s="57"/>
      <c r="I318" s="57"/>
      <c r="J318" s="57"/>
      <c r="K318" s="63"/>
      <c r="L318" s="57"/>
      <c r="M318" s="57"/>
      <c r="N318" s="57"/>
      <c r="O318" s="57"/>
      <c r="P318" s="57"/>
      <c r="Q318" s="57"/>
    </row>
    <row r="319">
      <c r="A319" s="69" t="s">
        <v>435</v>
      </c>
      <c r="B319" s="60" t="s">
        <v>472</v>
      </c>
      <c r="C319" s="57"/>
      <c r="D319" s="57"/>
      <c r="E319" s="57"/>
      <c r="F319" s="57"/>
      <c r="G319" s="57"/>
      <c r="H319" s="57"/>
      <c r="I319" s="57"/>
      <c r="J319" s="57"/>
      <c r="K319" s="63"/>
      <c r="L319" s="57"/>
      <c r="M319" s="57"/>
      <c r="N319" s="57"/>
      <c r="O319" s="57"/>
      <c r="P319" s="57"/>
      <c r="Q319" s="57"/>
    </row>
    <row r="320">
      <c r="A320" s="69" t="s">
        <v>483</v>
      </c>
      <c r="B320" s="60" t="s">
        <v>443</v>
      </c>
      <c r="C320" s="57"/>
      <c r="D320" s="57"/>
      <c r="E320" s="57"/>
      <c r="F320" s="57"/>
      <c r="G320" s="57"/>
      <c r="H320" s="57"/>
      <c r="I320" s="57"/>
      <c r="J320" s="57"/>
      <c r="K320" s="63"/>
      <c r="L320" s="57"/>
      <c r="M320" s="57"/>
      <c r="N320" s="57"/>
      <c r="O320" s="57"/>
      <c r="P320" s="57"/>
      <c r="Q320" s="57"/>
    </row>
    <row r="321">
      <c r="A321" s="69" t="s">
        <v>426</v>
      </c>
      <c r="B321" s="60" t="s">
        <v>534</v>
      </c>
      <c r="C321" s="57"/>
      <c r="D321" s="57"/>
      <c r="E321" s="57"/>
      <c r="F321" s="57"/>
      <c r="G321" s="57"/>
      <c r="H321" s="57"/>
      <c r="I321" s="57"/>
      <c r="J321" s="57"/>
      <c r="K321" s="63"/>
      <c r="L321" s="57"/>
      <c r="M321" s="57"/>
      <c r="N321" s="57"/>
      <c r="O321" s="57"/>
      <c r="P321" s="57"/>
      <c r="Q321" s="57"/>
    </row>
    <row r="322">
      <c r="A322" s="69" t="s">
        <v>53</v>
      </c>
      <c r="B322" s="60" t="s">
        <v>456</v>
      </c>
      <c r="C322" s="57"/>
      <c r="D322" s="57"/>
      <c r="E322" s="57"/>
      <c r="F322" s="57"/>
      <c r="G322" s="57"/>
      <c r="H322" s="57"/>
      <c r="I322" s="57"/>
      <c r="J322" s="57"/>
      <c r="K322" s="63"/>
      <c r="L322" s="57"/>
      <c r="M322" s="57"/>
      <c r="N322" s="57"/>
      <c r="O322" s="57"/>
      <c r="P322" s="57"/>
      <c r="Q322" s="57"/>
    </row>
    <row r="323">
      <c r="A323" s="69" t="s">
        <v>50</v>
      </c>
      <c r="B323" s="60" t="s">
        <v>98</v>
      </c>
      <c r="C323" s="57"/>
      <c r="D323" s="57"/>
      <c r="E323" s="57"/>
      <c r="F323" s="57"/>
      <c r="G323" s="57"/>
      <c r="H323" s="57"/>
      <c r="I323" s="57"/>
      <c r="J323" s="57"/>
      <c r="K323" s="63"/>
      <c r="L323" s="57"/>
      <c r="M323" s="57"/>
      <c r="N323" s="57"/>
      <c r="O323" s="57"/>
      <c r="P323" s="57"/>
      <c r="Q323" s="57"/>
    </row>
    <row r="324">
      <c r="A324" s="69" t="s">
        <v>438</v>
      </c>
      <c r="B324" s="60" t="s">
        <v>436</v>
      </c>
      <c r="C324" s="57"/>
      <c r="D324" s="57"/>
      <c r="E324" s="57"/>
      <c r="F324" s="57"/>
      <c r="G324" s="57"/>
      <c r="H324" s="57"/>
      <c r="I324" s="57"/>
      <c r="J324" s="57"/>
      <c r="K324" s="63"/>
      <c r="L324" s="57"/>
      <c r="M324" s="57"/>
      <c r="N324" s="57"/>
      <c r="O324" s="57"/>
      <c r="P324" s="57"/>
      <c r="Q324" s="57"/>
    </row>
    <row r="325">
      <c r="A325" s="69" t="s">
        <v>439</v>
      </c>
      <c r="B325" s="60" t="s">
        <v>440</v>
      </c>
      <c r="C325" s="57"/>
      <c r="D325" s="57"/>
      <c r="E325" s="57"/>
      <c r="F325" s="57"/>
      <c r="G325" s="57"/>
      <c r="H325" s="57"/>
      <c r="I325" s="57"/>
      <c r="J325" s="57"/>
      <c r="K325" s="63"/>
      <c r="L325" s="57"/>
      <c r="M325" s="57"/>
      <c r="N325" s="57"/>
      <c r="O325" s="57"/>
      <c r="P325" s="57"/>
      <c r="Q325" s="57"/>
    </row>
    <row r="326">
      <c r="A326" s="69" t="s">
        <v>441</v>
      </c>
      <c r="B326" s="60">
        <v>4.0</v>
      </c>
      <c r="C326" s="57"/>
      <c r="D326" s="57"/>
      <c r="E326" s="57"/>
      <c r="F326" s="57"/>
      <c r="G326" s="57"/>
      <c r="H326" s="57"/>
      <c r="I326" s="57"/>
      <c r="J326" s="57"/>
      <c r="K326" s="63"/>
      <c r="L326" s="57"/>
      <c r="M326" s="57"/>
      <c r="N326" s="57"/>
      <c r="O326" s="57"/>
      <c r="P326" s="57"/>
      <c r="Q326" s="57"/>
    </row>
    <row r="327">
      <c r="A327" s="69" t="s">
        <v>444</v>
      </c>
      <c r="B327" s="60" t="s">
        <v>491</v>
      </c>
      <c r="C327" s="57"/>
      <c r="D327" s="57"/>
      <c r="E327" s="57"/>
      <c r="F327" s="57"/>
      <c r="G327" s="57"/>
      <c r="H327" s="57"/>
      <c r="I327" s="57"/>
      <c r="J327" s="57"/>
      <c r="K327" s="63"/>
      <c r="L327" s="57"/>
      <c r="M327" s="57"/>
      <c r="N327" s="57"/>
      <c r="O327" s="57"/>
      <c r="P327" s="57"/>
      <c r="Q327" s="57"/>
    </row>
    <row r="328">
      <c r="A328" s="69" t="s">
        <v>446</v>
      </c>
      <c r="B328" s="60" t="s">
        <v>491</v>
      </c>
      <c r="C328" s="57"/>
      <c r="D328" s="57"/>
      <c r="E328" s="57"/>
      <c r="F328" s="57"/>
      <c r="G328" s="57"/>
      <c r="H328" s="57"/>
      <c r="I328" s="57"/>
      <c r="J328" s="57"/>
      <c r="K328" s="63"/>
      <c r="L328" s="57"/>
      <c r="M328" s="57"/>
      <c r="N328" s="57"/>
      <c r="O328" s="57"/>
      <c r="P328" s="57"/>
      <c r="Q328" s="57"/>
    </row>
    <row r="329">
      <c r="A329" s="67" t="s">
        <v>125</v>
      </c>
      <c r="B329" s="60" t="s">
        <v>535</v>
      </c>
      <c r="C329" s="57"/>
      <c r="D329" s="57"/>
      <c r="E329" s="57"/>
      <c r="F329" s="57"/>
      <c r="G329" s="57"/>
      <c r="H329" s="57"/>
      <c r="I329" s="57"/>
      <c r="J329" s="57"/>
      <c r="K329" s="63"/>
      <c r="L329" s="57"/>
      <c r="M329" s="57"/>
      <c r="N329" s="57"/>
      <c r="O329" s="57"/>
      <c r="P329" s="57"/>
      <c r="Q329" s="57"/>
    </row>
    <row r="330">
      <c r="A330" s="69" t="s">
        <v>38</v>
      </c>
      <c r="B330" s="60"/>
      <c r="C330" s="65">
        <v>32.0</v>
      </c>
      <c r="D330" s="57">
        <f t="shared" ref="D330:D331" si="168">ROUNDDOWN(C330*1.1,0)</f>
        <v>35</v>
      </c>
      <c r="E330" s="57">
        <f t="shared" ref="E330:E331" si="169">ROUNDDOWN(C330*1.21,0)</f>
        <v>38</v>
      </c>
      <c r="F330" s="57">
        <f t="shared" ref="F330:F331" si="170">ROUNDDOWN(C330*1.33,0)</f>
        <v>42</v>
      </c>
      <c r="G330" s="57">
        <f t="shared" ref="G330:G331" si="171">ROUNDDOWN(C330*1.46,0)</f>
        <v>46</v>
      </c>
      <c r="H330" s="57">
        <f t="shared" ref="H330:H331" si="172">ROUNDDOWN(C330*1.6,0)</f>
        <v>51</v>
      </c>
      <c r="I330" s="57">
        <f t="shared" ref="I330:I331" si="173">ROUNDDOWN(C330*1.76,0)</f>
        <v>56</v>
      </c>
      <c r="J330" s="57">
        <f t="shared" ref="J330:J331" si="174">ROUNDDOWN(C330*1.93,0)</f>
        <v>61</v>
      </c>
      <c r="K330" s="63">
        <f t="shared" ref="K330:K331" si="175">ROUNDDOWN(C330*2.12,0)</f>
        <v>67</v>
      </c>
      <c r="L330" s="57">
        <f t="shared" ref="L330:L331" si="176">ROUNDDOWN(C330*2.33,0)</f>
        <v>74</v>
      </c>
      <c r="M330" s="57">
        <f t="shared" ref="M330:M331" si="177">ROUNDDOWN(C330*2.56,0)</f>
        <v>81</v>
      </c>
      <c r="N330" s="57">
        <f t="shared" ref="N330:N331" si="178">ROUNDDOWN(C330*2.81,0)</f>
        <v>89</v>
      </c>
      <c r="O330" s="57">
        <f t="shared" ref="O330:O331" si="179">ROUNDDOWN(C330*3.09,0)</f>
        <v>98</v>
      </c>
      <c r="P330" s="57">
        <f t="shared" ref="P330:P331" si="180">ROUNDDOWN(C330*3.39,0)</f>
        <v>108</v>
      </c>
      <c r="Q330" s="57"/>
    </row>
    <row r="331">
      <c r="A331" s="69" t="s">
        <v>24</v>
      </c>
      <c r="B331" s="26"/>
      <c r="C331" s="65">
        <v>32.0</v>
      </c>
      <c r="D331" s="57">
        <f t="shared" si="168"/>
        <v>35</v>
      </c>
      <c r="E331" s="57">
        <f t="shared" si="169"/>
        <v>38</v>
      </c>
      <c r="F331" s="57">
        <f t="shared" si="170"/>
        <v>42</v>
      </c>
      <c r="G331" s="57">
        <f t="shared" si="171"/>
        <v>46</v>
      </c>
      <c r="H331" s="57">
        <f t="shared" si="172"/>
        <v>51</v>
      </c>
      <c r="I331" s="57">
        <f t="shared" si="173"/>
        <v>56</v>
      </c>
      <c r="J331" s="57">
        <f t="shared" si="174"/>
        <v>61</v>
      </c>
      <c r="K331" s="63">
        <f t="shared" si="175"/>
        <v>67</v>
      </c>
      <c r="L331" s="57">
        <f t="shared" si="176"/>
        <v>74</v>
      </c>
      <c r="M331" s="57">
        <f t="shared" si="177"/>
        <v>81</v>
      </c>
      <c r="N331" s="57">
        <f t="shared" si="178"/>
        <v>89</v>
      </c>
      <c r="O331" s="57">
        <f t="shared" si="179"/>
        <v>98</v>
      </c>
      <c r="P331" s="57">
        <f t="shared" si="180"/>
        <v>108</v>
      </c>
      <c r="Q331" s="57"/>
    </row>
    <row r="332">
      <c r="A332" s="69" t="s">
        <v>428</v>
      </c>
      <c r="B332" s="60" t="s">
        <v>429</v>
      </c>
      <c r="C332" s="57"/>
      <c r="D332" s="57"/>
      <c r="E332" s="57"/>
      <c r="F332" s="57"/>
      <c r="G332" s="57"/>
      <c r="H332" s="57"/>
      <c r="I332" s="57"/>
      <c r="J332" s="57"/>
      <c r="K332" s="63"/>
      <c r="L332" s="57"/>
      <c r="M332" s="57"/>
      <c r="N332" s="57"/>
      <c r="O332" s="57"/>
      <c r="P332" s="57"/>
      <c r="Q332" s="57"/>
    </row>
    <row r="333">
      <c r="A333" s="69" t="s">
        <v>55</v>
      </c>
      <c r="B333" s="60" t="s">
        <v>430</v>
      </c>
      <c r="C333" s="57"/>
      <c r="D333" s="57"/>
      <c r="E333" s="57"/>
      <c r="F333" s="57"/>
      <c r="G333" s="57"/>
      <c r="H333" s="57"/>
      <c r="I333" s="57"/>
      <c r="J333" s="57"/>
      <c r="K333" s="63"/>
      <c r="L333" s="57"/>
      <c r="M333" s="57"/>
      <c r="N333" s="57"/>
      <c r="O333" s="57"/>
      <c r="P333" s="57"/>
      <c r="Q333" s="57"/>
    </row>
    <row r="334">
      <c r="A334" s="69" t="s">
        <v>51</v>
      </c>
      <c r="B334" s="60" t="s">
        <v>431</v>
      </c>
      <c r="C334" s="57"/>
      <c r="D334" s="57"/>
      <c r="E334" s="57"/>
      <c r="F334" s="57"/>
      <c r="G334" s="57"/>
      <c r="H334" s="57"/>
      <c r="I334" s="57"/>
      <c r="J334" s="57"/>
      <c r="K334" s="63"/>
      <c r="L334" s="57"/>
      <c r="M334" s="57"/>
      <c r="N334" s="57"/>
      <c r="O334" s="57"/>
      <c r="P334" s="57"/>
      <c r="Q334" s="57"/>
    </row>
    <row r="335">
      <c r="A335" s="69" t="s">
        <v>49</v>
      </c>
      <c r="B335" s="60" t="s">
        <v>430</v>
      </c>
      <c r="C335" s="57"/>
      <c r="D335" s="57"/>
      <c r="E335" s="57"/>
      <c r="F335" s="57"/>
      <c r="G335" s="57"/>
      <c r="H335" s="57"/>
      <c r="I335" s="57"/>
      <c r="J335" s="57"/>
      <c r="K335" s="63"/>
      <c r="L335" s="57"/>
      <c r="M335" s="57"/>
      <c r="N335" s="57"/>
      <c r="O335" s="57"/>
      <c r="P335" s="57"/>
      <c r="Q335" s="57"/>
    </row>
    <row r="336">
      <c r="A336" s="69" t="s">
        <v>432</v>
      </c>
      <c r="B336" s="60" t="s">
        <v>433</v>
      </c>
      <c r="C336" s="57"/>
      <c r="D336" s="57"/>
      <c r="E336" s="57"/>
      <c r="F336" s="57"/>
      <c r="G336" s="57"/>
      <c r="H336" s="57"/>
      <c r="I336" s="57"/>
      <c r="J336" s="57"/>
      <c r="K336" s="63"/>
      <c r="L336" s="57"/>
      <c r="M336" s="57"/>
      <c r="N336" s="57"/>
      <c r="O336" s="57"/>
      <c r="P336" s="57"/>
      <c r="Q336" s="57"/>
    </row>
    <row r="337">
      <c r="A337" s="69" t="s">
        <v>53</v>
      </c>
      <c r="B337" s="60" t="s">
        <v>440</v>
      </c>
      <c r="C337" s="65"/>
      <c r="D337" s="57"/>
      <c r="E337" s="57"/>
      <c r="F337" s="57"/>
      <c r="G337" s="57"/>
      <c r="H337" s="57"/>
      <c r="I337" s="57"/>
      <c r="J337" s="57"/>
      <c r="K337" s="63"/>
      <c r="L337" s="57"/>
      <c r="M337" s="57"/>
      <c r="N337" s="57"/>
      <c r="O337" s="57"/>
      <c r="P337" s="57"/>
      <c r="Q337" s="57"/>
    </row>
    <row r="338">
      <c r="A338" s="69" t="s">
        <v>50</v>
      </c>
      <c r="B338" s="60" t="s">
        <v>98</v>
      </c>
      <c r="C338" s="65"/>
      <c r="D338" s="57"/>
      <c r="E338" s="57"/>
      <c r="F338" s="57"/>
      <c r="G338" s="57"/>
      <c r="H338" s="57"/>
      <c r="I338" s="57"/>
      <c r="J338" s="57"/>
      <c r="K338" s="63"/>
      <c r="L338" s="57"/>
      <c r="M338" s="57"/>
      <c r="N338" s="57"/>
      <c r="O338" s="57"/>
      <c r="P338" s="57"/>
      <c r="Q338" s="57"/>
    </row>
    <row r="339">
      <c r="A339" s="69" t="s">
        <v>438</v>
      </c>
      <c r="B339" s="60" t="s">
        <v>436</v>
      </c>
      <c r="C339" s="65"/>
      <c r="D339" s="57"/>
      <c r="E339" s="57"/>
      <c r="F339" s="57"/>
      <c r="G339" s="57"/>
      <c r="H339" s="57"/>
      <c r="I339" s="57"/>
      <c r="J339" s="57"/>
      <c r="K339" s="63"/>
      <c r="L339" s="57"/>
      <c r="M339" s="57"/>
      <c r="N339" s="57"/>
      <c r="O339" s="57"/>
      <c r="P339" s="57"/>
      <c r="Q339" s="57"/>
    </row>
    <row r="340">
      <c r="A340" s="69" t="s">
        <v>439</v>
      </c>
      <c r="B340" s="60" t="s">
        <v>440</v>
      </c>
      <c r="C340" s="65"/>
      <c r="D340" s="57"/>
      <c r="E340" s="57"/>
      <c r="F340" s="57"/>
      <c r="G340" s="57"/>
      <c r="H340" s="57"/>
      <c r="I340" s="57"/>
      <c r="J340" s="57"/>
      <c r="K340" s="63"/>
      <c r="L340" s="57"/>
      <c r="M340" s="57"/>
      <c r="N340" s="57"/>
      <c r="O340" s="57"/>
      <c r="P340" s="57"/>
      <c r="Q340" s="57"/>
    </row>
    <row r="341">
      <c r="A341" s="69" t="s">
        <v>441</v>
      </c>
      <c r="B341" s="60">
        <v>1.0</v>
      </c>
      <c r="C341" s="65"/>
      <c r="D341" s="57"/>
      <c r="E341" s="57"/>
      <c r="F341" s="57"/>
      <c r="G341" s="57"/>
      <c r="H341" s="57"/>
      <c r="I341" s="57"/>
      <c r="J341" s="57"/>
      <c r="K341" s="63"/>
      <c r="L341" s="57"/>
      <c r="M341" s="57"/>
      <c r="N341" s="57"/>
      <c r="O341" s="57"/>
      <c r="P341" s="57"/>
      <c r="Q341" s="57"/>
    </row>
    <row r="342">
      <c r="A342" s="69" t="s">
        <v>444</v>
      </c>
      <c r="B342" s="60" t="s">
        <v>491</v>
      </c>
      <c r="C342" s="65"/>
      <c r="D342" s="57"/>
      <c r="E342" s="57"/>
      <c r="F342" s="57"/>
      <c r="G342" s="57"/>
      <c r="H342" s="57"/>
      <c r="I342" s="57"/>
      <c r="J342" s="57"/>
      <c r="K342" s="63"/>
      <c r="L342" s="57"/>
      <c r="M342" s="57"/>
      <c r="N342" s="57"/>
      <c r="O342" s="57"/>
      <c r="P342" s="57"/>
      <c r="Q342" s="57"/>
    </row>
    <row r="343">
      <c r="A343" s="69" t="s">
        <v>446</v>
      </c>
      <c r="B343" s="60" t="s">
        <v>491</v>
      </c>
      <c r="C343" s="65"/>
      <c r="D343" s="57"/>
      <c r="E343" s="57"/>
      <c r="F343" s="57"/>
      <c r="G343" s="57"/>
      <c r="H343" s="57"/>
      <c r="I343" s="57"/>
      <c r="J343" s="57"/>
      <c r="K343" s="63"/>
      <c r="L343" s="57"/>
      <c r="M343" s="57"/>
      <c r="N343" s="57"/>
      <c r="O343" s="57"/>
      <c r="P343" s="57"/>
      <c r="Q343" s="57"/>
    </row>
    <row r="344">
      <c r="A344" s="69" t="s">
        <v>447</v>
      </c>
      <c r="B344" s="60" t="s">
        <v>448</v>
      </c>
      <c r="C344" s="65"/>
      <c r="D344" s="57"/>
      <c r="E344" s="57"/>
      <c r="F344" s="57"/>
      <c r="G344" s="57"/>
      <c r="H344" s="57"/>
      <c r="I344" s="57"/>
      <c r="J344" s="57"/>
      <c r="K344" s="63"/>
      <c r="L344" s="57"/>
      <c r="M344" s="57"/>
      <c r="N344" s="57"/>
      <c r="O344" s="57"/>
      <c r="P344" s="57"/>
      <c r="Q344" s="57"/>
    </row>
    <row r="345">
      <c r="A345" s="69" t="s">
        <v>57</v>
      </c>
      <c r="B345" s="60">
        <v>3.0</v>
      </c>
      <c r="C345" s="65"/>
      <c r="D345" s="57"/>
      <c r="E345" s="57"/>
      <c r="F345" s="57"/>
      <c r="G345" s="57"/>
      <c r="H345" s="57"/>
      <c r="I345" s="57"/>
      <c r="J345" s="57"/>
      <c r="K345" s="63"/>
      <c r="L345" s="57"/>
      <c r="M345" s="57"/>
      <c r="N345" s="57"/>
      <c r="O345" s="57"/>
      <c r="P345" s="57"/>
      <c r="Q345" s="57"/>
    </row>
    <row r="346">
      <c r="A346" s="69" t="s">
        <v>489</v>
      </c>
      <c r="B346" s="60" t="s">
        <v>536</v>
      </c>
      <c r="C346" s="65"/>
      <c r="D346" s="57"/>
      <c r="E346" s="57"/>
      <c r="F346" s="57"/>
      <c r="G346" s="57"/>
      <c r="H346" s="57"/>
      <c r="I346" s="57"/>
      <c r="J346" s="57"/>
      <c r="K346" s="63"/>
      <c r="L346" s="57"/>
      <c r="M346" s="57"/>
      <c r="N346" s="57"/>
      <c r="O346" s="57"/>
      <c r="P346" s="57"/>
      <c r="Q346" s="57"/>
    </row>
    <row r="347">
      <c r="A347" s="68" t="s">
        <v>126</v>
      </c>
      <c r="B347" s="60" t="s">
        <v>416</v>
      </c>
      <c r="C347" s="57"/>
      <c r="D347" s="57"/>
      <c r="E347" s="57"/>
      <c r="F347" s="57"/>
      <c r="G347" s="57"/>
      <c r="H347" s="57"/>
      <c r="I347" s="57"/>
      <c r="J347" s="57"/>
      <c r="K347" s="63"/>
      <c r="L347" s="57"/>
      <c r="M347" s="57"/>
      <c r="N347" s="57"/>
      <c r="O347" s="57"/>
      <c r="P347" s="57"/>
      <c r="Q347" s="57"/>
    </row>
    <row r="348">
      <c r="A348" s="60" t="s">
        <v>38</v>
      </c>
      <c r="B348" s="26"/>
      <c r="C348" s="57"/>
      <c r="D348" s="57"/>
      <c r="E348" s="65">
        <v>250.0</v>
      </c>
      <c r="F348" s="57">
        <f>ROUNDDOWN(E348*1.1,0)</f>
        <v>275</v>
      </c>
      <c r="G348" s="57">
        <f>ROUNDDOWN(E348*1.21,0)</f>
        <v>302</v>
      </c>
      <c r="H348" s="57">
        <f>ROUNDDOWN(E348*1.33,0)</f>
        <v>332</v>
      </c>
      <c r="I348" s="57">
        <f>ROUNDDOWN(E348*1.46,0)</f>
        <v>365</v>
      </c>
      <c r="J348" s="57">
        <f>ROUNDDOWN(E348*1.6,0)</f>
        <v>400</v>
      </c>
      <c r="K348" s="63">
        <f>ROUNDDOWN(E348*1.76,0)</f>
        <v>440</v>
      </c>
      <c r="L348" s="57">
        <f>ROUNDDOWN(E348*1.93,0)</f>
        <v>482</v>
      </c>
      <c r="M348" s="57">
        <f>ROUNDDOWN(E348*2.12,0)</f>
        <v>530</v>
      </c>
      <c r="N348" s="57">
        <f>ROUNDDOWN(E348*2.33,0)</f>
        <v>582</v>
      </c>
      <c r="O348" s="57">
        <f>ROUNDDOWN(E348*2.56,0)</f>
        <v>640</v>
      </c>
      <c r="P348" s="57">
        <f>ROUNDDOWN(E348*2.81,0)</f>
        <v>702</v>
      </c>
      <c r="Q348" s="57"/>
    </row>
    <row r="349">
      <c r="A349" s="60" t="s">
        <v>503</v>
      </c>
      <c r="B349" s="26"/>
      <c r="C349" s="57"/>
      <c r="D349" s="57"/>
      <c r="E349" s="65">
        <f t="shared" ref="E349:P349" si="181">E$3</f>
        <v>3</v>
      </c>
      <c r="F349" s="65">
        <f t="shared" si="181"/>
        <v>4</v>
      </c>
      <c r="G349" s="65">
        <f t="shared" si="181"/>
        <v>5</v>
      </c>
      <c r="H349" s="65">
        <f t="shared" si="181"/>
        <v>6</v>
      </c>
      <c r="I349" s="65">
        <f t="shared" si="181"/>
        <v>7</v>
      </c>
      <c r="J349" s="65">
        <f t="shared" si="181"/>
        <v>8</v>
      </c>
      <c r="K349" s="66">
        <f t="shared" si="181"/>
        <v>9</v>
      </c>
      <c r="L349" s="65">
        <f t="shared" si="181"/>
        <v>10</v>
      </c>
      <c r="M349" s="65">
        <f t="shared" si="181"/>
        <v>11</v>
      </c>
      <c r="N349" s="65">
        <f t="shared" si="181"/>
        <v>12</v>
      </c>
      <c r="O349" s="65">
        <f t="shared" si="181"/>
        <v>13</v>
      </c>
      <c r="P349" s="65">
        <f t="shared" si="181"/>
        <v>14</v>
      </c>
      <c r="Q349" s="65"/>
    </row>
    <row r="350">
      <c r="A350" s="60" t="s">
        <v>55</v>
      </c>
      <c r="B350" s="60" t="s">
        <v>430</v>
      </c>
      <c r="C350" s="57"/>
      <c r="D350" s="57"/>
      <c r="E350" s="57"/>
      <c r="F350" s="57"/>
      <c r="G350" s="57"/>
      <c r="H350" s="57"/>
      <c r="I350" s="57"/>
      <c r="J350" s="57"/>
      <c r="K350" s="63"/>
      <c r="L350" s="57"/>
      <c r="M350" s="57"/>
      <c r="N350" s="57"/>
      <c r="O350" s="57"/>
      <c r="P350" s="57"/>
      <c r="Q350" s="57"/>
    </row>
    <row r="351">
      <c r="A351" s="60" t="s">
        <v>56</v>
      </c>
      <c r="B351" s="60" t="s">
        <v>504</v>
      </c>
      <c r="C351" s="57"/>
      <c r="D351" s="57"/>
      <c r="E351" s="57"/>
      <c r="F351" s="57"/>
      <c r="G351" s="57"/>
      <c r="H351" s="57"/>
      <c r="I351" s="57"/>
      <c r="J351" s="57"/>
      <c r="K351" s="63"/>
      <c r="L351" s="57"/>
      <c r="M351" s="57"/>
      <c r="N351" s="57"/>
      <c r="O351" s="57"/>
      <c r="P351" s="57"/>
      <c r="Q351" s="57"/>
    </row>
    <row r="352">
      <c r="A352" s="60" t="s">
        <v>439</v>
      </c>
      <c r="B352" s="60" t="s">
        <v>505</v>
      </c>
      <c r="C352" s="57"/>
      <c r="D352" s="57"/>
      <c r="E352" s="57"/>
      <c r="F352" s="57"/>
      <c r="G352" s="57"/>
      <c r="H352" s="57"/>
      <c r="I352" s="57"/>
      <c r="J352" s="57"/>
      <c r="K352" s="63"/>
      <c r="L352" s="57"/>
      <c r="M352" s="57"/>
      <c r="N352" s="57"/>
      <c r="O352" s="57"/>
      <c r="P352" s="57"/>
      <c r="Q352" s="57"/>
    </row>
    <row r="353">
      <c r="A353" s="60" t="s">
        <v>506</v>
      </c>
      <c r="B353" s="60">
        <v>1.0</v>
      </c>
      <c r="C353" s="57"/>
      <c r="D353" s="57"/>
      <c r="E353" s="57"/>
      <c r="F353" s="57"/>
      <c r="G353" s="57"/>
      <c r="H353" s="57"/>
      <c r="I353" s="57"/>
      <c r="J353" s="57"/>
      <c r="K353" s="63"/>
      <c r="L353" s="57"/>
      <c r="M353" s="57"/>
      <c r="N353" s="57"/>
      <c r="O353" s="57"/>
      <c r="P353" s="57"/>
      <c r="Q353" s="57"/>
    </row>
    <row r="354">
      <c r="A354" s="60" t="s">
        <v>47</v>
      </c>
      <c r="B354" s="60" t="s">
        <v>537</v>
      </c>
      <c r="C354" s="57"/>
      <c r="D354" s="57"/>
      <c r="E354" s="57"/>
      <c r="F354" s="57"/>
      <c r="G354" s="57"/>
      <c r="H354" s="57"/>
      <c r="I354" s="57"/>
      <c r="J354" s="57"/>
      <c r="K354" s="63"/>
      <c r="L354" s="57"/>
      <c r="M354" s="57"/>
      <c r="N354" s="57"/>
      <c r="O354" s="57"/>
      <c r="P354" s="57"/>
      <c r="Q354" s="57"/>
    </row>
    <row r="355">
      <c r="A355" s="60" t="s">
        <v>508</v>
      </c>
      <c r="B355" s="60" t="s">
        <v>538</v>
      </c>
      <c r="C355" s="57"/>
      <c r="D355" s="57"/>
      <c r="E355" s="57"/>
      <c r="F355" s="57"/>
      <c r="G355" s="57"/>
      <c r="H355" s="57"/>
      <c r="I355" s="57"/>
      <c r="J355" s="57"/>
      <c r="K355" s="63"/>
      <c r="L355" s="57"/>
      <c r="M355" s="57"/>
      <c r="N355" s="57"/>
      <c r="O355" s="57"/>
      <c r="P355" s="57"/>
      <c r="Q355" s="57"/>
    </row>
    <row r="356">
      <c r="A356" s="60" t="s">
        <v>510</v>
      </c>
      <c r="B356" s="60">
        <v>3.0</v>
      </c>
      <c r="C356" s="57"/>
      <c r="D356" s="57"/>
      <c r="E356" s="57"/>
      <c r="F356" s="57"/>
      <c r="G356" s="57"/>
      <c r="H356" s="57"/>
      <c r="I356" s="57"/>
      <c r="J356" s="57"/>
      <c r="K356" s="63"/>
      <c r="L356" s="57"/>
      <c r="M356" s="57"/>
      <c r="N356" s="57"/>
      <c r="O356" s="57"/>
      <c r="P356" s="57"/>
      <c r="Q356" s="57"/>
    </row>
    <row r="357">
      <c r="A357" s="60" t="s">
        <v>511</v>
      </c>
      <c r="B357" s="60" t="s">
        <v>538</v>
      </c>
      <c r="C357" s="57"/>
      <c r="D357" s="57"/>
      <c r="E357" s="57"/>
      <c r="F357" s="57"/>
      <c r="G357" s="57"/>
      <c r="H357" s="57"/>
      <c r="I357" s="57"/>
      <c r="J357" s="57"/>
      <c r="K357" s="63"/>
      <c r="L357" s="57"/>
      <c r="M357" s="57"/>
      <c r="N357" s="57"/>
      <c r="O357" s="57"/>
      <c r="P357" s="57"/>
      <c r="Q357" s="57"/>
    </row>
    <row r="358">
      <c r="A358" s="68" t="s">
        <v>129</v>
      </c>
      <c r="B358" s="60" t="s">
        <v>459</v>
      </c>
      <c r="C358" s="57"/>
      <c r="D358" s="57"/>
      <c r="E358" s="57"/>
      <c r="F358" s="57"/>
      <c r="G358" s="57"/>
      <c r="H358" s="57"/>
      <c r="I358" s="57"/>
      <c r="J358" s="57"/>
      <c r="K358" s="63"/>
      <c r="L358" s="57"/>
      <c r="M358" s="57"/>
      <c r="N358" s="57"/>
      <c r="O358" s="57"/>
      <c r="P358" s="57"/>
      <c r="Q358" s="57"/>
    </row>
    <row r="359">
      <c r="A359" s="69" t="s">
        <v>38</v>
      </c>
      <c r="B359" s="26"/>
      <c r="C359" s="57"/>
      <c r="D359" s="57"/>
      <c r="E359" s="65">
        <v>940.0</v>
      </c>
      <c r="F359" s="57">
        <f t="shared" ref="F359:F360" si="182">ROUNDDOWN(E359*1.1,0)</f>
        <v>1034</v>
      </c>
      <c r="G359" s="57">
        <f t="shared" ref="G359:G360" si="183">ROUNDDOWN(E359*1.21,0)</f>
        <v>1137</v>
      </c>
      <c r="H359" s="57">
        <f t="shared" ref="H359:H360" si="184">ROUNDDOWN(E359*1.33,0)</f>
        <v>1250</v>
      </c>
      <c r="I359" s="57">
        <f t="shared" ref="I359:I360" si="185">ROUNDDOWN(E359*1.46,0)</f>
        <v>1372</v>
      </c>
      <c r="J359" s="57">
        <f t="shared" ref="J359:J360" si="186">ROUNDDOWN(E359*1.6,0)</f>
        <v>1504</v>
      </c>
      <c r="K359" s="63">
        <f t="shared" ref="K359:K360" si="187">ROUNDDOWN(E359*1.76,0)</f>
        <v>1654</v>
      </c>
      <c r="L359" s="57">
        <f t="shared" ref="L359:L360" si="188">ROUNDDOWN(E359*1.93,0)</f>
        <v>1814</v>
      </c>
      <c r="M359" s="57">
        <f t="shared" ref="M359:M360" si="189">ROUNDDOWN(E359*2.12,0)</f>
        <v>1992</v>
      </c>
      <c r="N359" s="57">
        <f t="shared" ref="N359:N360" si="190">ROUNDDOWN(E359*2.33,0)</f>
        <v>2190</v>
      </c>
      <c r="O359" s="57">
        <f t="shared" ref="O359:O360" si="191">ROUNDDOWN(E359*2.56,0)</f>
        <v>2406</v>
      </c>
      <c r="P359" s="57">
        <f t="shared" ref="P359:P360" si="192">ROUNDDOWN(E359*2.81,0)</f>
        <v>2641</v>
      </c>
      <c r="Q359" s="57"/>
    </row>
    <row r="360">
      <c r="A360" s="69" t="s">
        <v>24</v>
      </c>
      <c r="B360" s="26"/>
      <c r="C360" s="57"/>
      <c r="D360" s="57"/>
      <c r="E360" s="65">
        <v>126.0</v>
      </c>
      <c r="F360" s="57">
        <f t="shared" si="182"/>
        <v>138</v>
      </c>
      <c r="G360" s="57">
        <f t="shared" si="183"/>
        <v>152</v>
      </c>
      <c r="H360" s="57">
        <f t="shared" si="184"/>
        <v>167</v>
      </c>
      <c r="I360" s="57">
        <f t="shared" si="185"/>
        <v>183</v>
      </c>
      <c r="J360" s="57">
        <f t="shared" si="186"/>
        <v>201</v>
      </c>
      <c r="K360" s="63">
        <f t="shared" si="187"/>
        <v>221</v>
      </c>
      <c r="L360" s="57">
        <f t="shared" si="188"/>
        <v>243</v>
      </c>
      <c r="M360" s="57">
        <f t="shared" si="189"/>
        <v>267</v>
      </c>
      <c r="N360" s="57">
        <f t="shared" si="190"/>
        <v>293</v>
      </c>
      <c r="O360" s="57">
        <f t="shared" si="191"/>
        <v>322</v>
      </c>
      <c r="P360" s="57">
        <f t="shared" si="192"/>
        <v>354</v>
      </c>
      <c r="Q360" s="57"/>
    </row>
    <row r="361">
      <c r="A361" s="69" t="s">
        <v>428</v>
      </c>
      <c r="B361" s="60" t="s">
        <v>429</v>
      </c>
      <c r="C361" s="57"/>
      <c r="D361" s="57"/>
      <c r="E361" s="57"/>
      <c r="F361" s="57"/>
      <c r="G361" s="57"/>
      <c r="H361" s="57"/>
      <c r="I361" s="57"/>
      <c r="J361" s="57"/>
      <c r="K361" s="63"/>
      <c r="L361" s="57"/>
      <c r="M361" s="57"/>
      <c r="N361" s="57"/>
      <c r="O361" s="57"/>
      <c r="P361" s="57"/>
      <c r="Q361" s="57"/>
    </row>
    <row r="362">
      <c r="A362" s="69" t="s">
        <v>55</v>
      </c>
      <c r="B362" s="60" t="s">
        <v>430</v>
      </c>
      <c r="C362" s="57"/>
      <c r="D362" s="57"/>
      <c r="E362" s="57"/>
      <c r="F362" s="57"/>
      <c r="G362" s="57"/>
      <c r="H362" s="57"/>
      <c r="I362" s="57"/>
      <c r="J362" s="57"/>
      <c r="K362" s="63"/>
      <c r="L362" s="57"/>
      <c r="M362" s="57"/>
      <c r="N362" s="57"/>
      <c r="O362" s="57"/>
      <c r="P362" s="57"/>
      <c r="Q362" s="57"/>
    </row>
    <row r="363">
      <c r="A363" s="69" t="s">
        <v>51</v>
      </c>
      <c r="B363" s="60" t="s">
        <v>451</v>
      </c>
      <c r="C363" s="57"/>
      <c r="D363" s="57"/>
      <c r="E363" s="57"/>
      <c r="F363" s="57"/>
      <c r="G363" s="57"/>
      <c r="H363" s="57"/>
      <c r="I363" s="57"/>
      <c r="J363" s="57"/>
      <c r="K363" s="63"/>
      <c r="L363" s="57"/>
      <c r="M363" s="57"/>
      <c r="N363" s="57"/>
      <c r="O363" s="57"/>
      <c r="P363" s="57"/>
      <c r="Q363" s="57"/>
    </row>
    <row r="364">
      <c r="A364" s="69" t="s">
        <v>49</v>
      </c>
      <c r="B364" s="60" t="s">
        <v>471</v>
      </c>
      <c r="C364" s="57"/>
      <c r="D364" s="57"/>
      <c r="E364" s="57"/>
      <c r="F364" s="57"/>
      <c r="G364" s="57"/>
      <c r="H364" s="57"/>
      <c r="I364" s="57"/>
      <c r="J364" s="57"/>
      <c r="K364" s="63"/>
      <c r="L364" s="57"/>
      <c r="M364" s="57"/>
      <c r="N364" s="57"/>
      <c r="O364" s="57"/>
      <c r="P364" s="57"/>
      <c r="Q364" s="57"/>
    </row>
    <row r="365">
      <c r="A365" s="69" t="s">
        <v>432</v>
      </c>
      <c r="B365" s="60" t="s">
        <v>492</v>
      </c>
      <c r="C365" s="57"/>
      <c r="D365" s="57"/>
      <c r="E365" s="57"/>
      <c r="F365" s="57"/>
      <c r="G365" s="57"/>
      <c r="H365" s="57"/>
      <c r="I365" s="57"/>
      <c r="J365" s="57"/>
      <c r="K365" s="63"/>
      <c r="L365" s="57"/>
      <c r="M365" s="57"/>
      <c r="N365" s="57"/>
      <c r="O365" s="57"/>
      <c r="P365" s="57"/>
      <c r="Q365" s="57"/>
    </row>
    <row r="366">
      <c r="A366" s="69" t="s">
        <v>53</v>
      </c>
      <c r="B366" s="60" t="s">
        <v>458</v>
      </c>
      <c r="C366" s="65"/>
      <c r="D366" s="57"/>
      <c r="E366" s="57"/>
      <c r="F366" s="57"/>
      <c r="G366" s="57"/>
      <c r="H366" s="57"/>
      <c r="I366" s="57"/>
      <c r="J366" s="57"/>
      <c r="K366" s="63"/>
      <c r="L366" s="57"/>
      <c r="M366" s="57"/>
      <c r="N366" s="57"/>
      <c r="O366" s="57"/>
      <c r="P366" s="57"/>
      <c r="Q366" s="57"/>
    </row>
    <row r="367">
      <c r="A367" s="69" t="s">
        <v>50</v>
      </c>
      <c r="B367" s="60" t="s">
        <v>98</v>
      </c>
      <c r="C367" s="65"/>
      <c r="D367" s="57"/>
      <c r="E367" s="57"/>
      <c r="F367" s="57"/>
      <c r="G367" s="57"/>
      <c r="H367" s="57"/>
      <c r="I367" s="57"/>
      <c r="J367" s="57"/>
      <c r="K367" s="63"/>
      <c r="L367" s="57"/>
      <c r="M367" s="57"/>
      <c r="N367" s="57"/>
      <c r="O367" s="57"/>
      <c r="P367" s="57"/>
      <c r="Q367" s="57"/>
    </row>
    <row r="368">
      <c r="A368" s="69" t="s">
        <v>483</v>
      </c>
      <c r="B368" s="60" t="s">
        <v>500</v>
      </c>
      <c r="C368" s="65"/>
      <c r="D368" s="57"/>
      <c r="E368" s="57"/>
      <c r="F368" s="57"/>
      <c r="G368" s="57"/>
      <c r="H368" s="57"/>
      <c r="I368" s="57"/>
      <c r="J368" s="57"/>
      <c r="K368" s="63"/>
      <c r="L368" s="57"/>
      <c r="M368" s="57"/>
      <c r="N368" s="57"/>
      <c r="O368" s="57"/>
      <c r="P368" s="57"/>
      <c r="Q368" s="57"/>
    </row>
    <row r="369">
      <c r="A369" s="69" t="s">
        <v>438</v>
      </c>
      <c r="B369" s="60" t="s">
        <v>436</v>
      </c>
      <c r="C369" s="65"/>
      <c r="D369" s="57"/>
      <c r="E369" s="57"/>
      <c r="F369" s="57"/>
      <c r="G369" s="57"/>
      <c r="H369" s="57"/>
      <c r="I369" s="57"/>
      <c r="J369" s="57"/>
      <c r="K369" s="63"/>
      <c r="L369" s="57"/>
      <c r="M369" s="57"/>
      <c r="N369" s="57"/>
      <c r="O369" s="57"/>
      <c r="P369" s="57"/>
      <c r="Q369" s="57"/>
    </row>
    <row r="370">
      <c r="A370" s="69" t="s">
        <v>439</v>
      </c>
      <c r="B370" s="60" t="s">
        <v>440</v>
      </c>
      <c r="C370" s="65"/>
      <c r="D370" s="57"/>
      <c r="E370" s="57"/>
      <c r="F370" s="57"/>
      <c r="G370" s="57"/>
      <c r="H370" s="57"/>
      <c r="I370" s="57"/>
      <c r="J370" s="57"/>
      <c r="K370" s="63"/>
      <c r="L370" s="57"/>
      <c r="M370" s="57"/>
      <c r="N370" s="57"/>
      <c r="O370" s="57"/>
      <c r="P370" s="57"/>
      <c r="Q370" s="57"/>
    </row>
    <row r="371">
      <c r="A371" s="69" t="s">
        <v>441</v>
      </c>
      <c r="B371" s="60">
        <v>5.0</v>
      </c>
      <c r="C371" s="65"/>
      <c r="D371" s="57"/>
      <c r="E371" s="57"/>
      <c r="F371" s="57"/>
      <c r="G371" s="57"/>
      <c r="H371" s="57"/>
      <c r="I371" s="57"/>
      <c r="J371" s="57"/>
      <c r="K371" s="63"/>
      <c r="L371" s="57"/>
      <c r="M371" s="57"/>
      <c r="N371" s="57"/>
      <c r="O371" s="57"/>
      <c r="P371" s="57"/>
      <c r="Q371" s="57"/>
    </row>
    <row r="372">
      <c r="A372" s="69" t="s">
        <v>444</v>
      </c>
      <c r="B372" s="60" t="s">
        <v>445</v>
      </c>
      <c r="C372" s="65"/>
      <c r="D372" s="57"/>
      <c r="E372" s="57"/>
      <c r="F372" s="57"/>
      <c r="G372" s="57"/>
      <c r="H372" s="57"/>
      <c r="I372" s="57"/>
      <c r="J372" s="57"/>
      <c r="K372" s="63"/>
      <c r="L372" s="57"/>
      <c r="M372" s="57"/>
      <c r="N372" s="57"/>
      <c r="O372" s="57"/>
      <c r="P372" s="57"/>
      <c r="Q372" s="57"/>
    </row>
    <row r="373">
      <c r="A373" s="69" t="s">
        <v>446</v>
      </c>
      <c r="B373" s="60" t="s">
        <v>445</v>
      </c>
      <c r="C373" s="65"/>
      <c r="D373" s="57"/>
      <c r="E373" s="57"/>
      <c r="F373" s="57"/>
      <c r="G373" s="57"/>
      <c r="H373" s="57"/>
      <c r="I373" s="57"/>
      <c r="J373" s="57"/>
      <c r="K373" s="63"/>
      <c r="L373" s="57"/>
      <c r="M373" s="57"/>
      <c r="N373" s="57"/>
      <c r="O373" s="57"/>
      <c r="P373" s="57"/>
      <c r="Q373" s="57"/>
    </row>
    <row r="374">
      <c r="A374" s="76" t="s">
        <v>178</v>
      </c>
      <c r="B374" s="60" t="s">
        <v>539</v>
      </c>
      <c r="C374" s="57"/>
      <c r="D374" s="57"/>
      <c r="E374" s="57"/>
      <c r="F374" s="57"/>
      <c r="G374" s="57"/>
      <c r="H374" s="57"/>
      <c r="I374" s="57"/>
      <c r="J374" s="57"/>
      <c r="K374" s="63"/>
      <c r="L374" s="57"/>
      <c r="M374" s="57"/>
      <c r="N374" s="57"/>
      <c r="O374" s="57"/>
      <c r="P374" s="57"/>
      <c r="Q374" s="57"/>
    </row>
    <row r="375">
      <c r="A375" s="60" t="s">
        <v>38</v>
      </c>
      <c r="B375" s="60"/>
      <c r="C375" s="57"/>
      <c r="D375" s="57"/>
      <c r="E375" s="57"/>
      <c r="F375" s="57"/>
      <c r="G375" s="57"/>
      <c r="H375" s="65">
        <v>2100.0</v>
      </c>
      <c r="I375" s="57">
        <f t="shared" ref="I375:I377" si="193">ROUNDDOWN(H375*1.1,0)</f>
        <v>2310</v>
      </c>
      <c r="J375" s="57">
        <f t="shared" ref="J375:J377" si="194">ROUNDDOWN(H375*1.21,0)</f>
        <v>2541</v>
      </c>
      <c r="K375" s="63">
        <f t="shared" ref="K375:K377" si="195">ROUNDDOWN(H375*1.33,0)</f>
        <v>2793</v>
      </c>
      <c r="L375" s="57">
        <f t="shared" ref="L375:L377" si="196">ROUNDDOWN(H375*1.46,0)</f>
        <v>3066</v>
      </c>
      <c r="M375" s="57">
        <f t="shared" ref="M375:M377" si="197">ROUNDDOWN(H375*1.6,0)</f>
        <v>3360</v>
      </c>
      <c r="N375" s="57">
        <f t="shared" ref="N375:N377" si="198">ROUNDDOWN(H375*1.76,0)</f>
        <v>3696</v>
      </c>
      <c r="O375" s="57">
        <f t="shared" ref="O375:O377" si="199">ROUNDDOWN(H375*1.93,0)</f>
        <v>4053</v>
      </c>
      <c r="P375" s="57">
        <f t="shared" ref="P375:P377" si="200">ROUNDDOWN(H375*2.12,0)</f>
        <v>4452</v>
      </c>
      <c r="Q375" s="57"/>
    </row>
    <row r="376">
      <c r="A376" s="60" t="s">
        <v>24</v>
      </c>
      <c r="B376" s="60"/>
      <c r="C376" s="57"/>
      <c r="D376" s="57"/>
      <c r="E376" s="57"/>
      <c r="F376" s="57"/>
      <c r="G376" s="57"/>
      <c r="H376" s="65">
        <v>167.0</v>
      </c>
      <c r="I376" s="57">
        <f t="shared" si="193"/>
        <v>183</v>
      </c>
      <c r="J376" s="57">
        <f t="shared" si="194"/>
        <v>202</v>
      </c>
      <c r="K376" s="63">
        <f t="shared" si="195"/>
        <v>222</v>
      </c>
      <c r="L376" s="57">
        <f t="shared" si="196"/>
        <v>243</v>
      </c>
      <c r="M376" s="57">
        <f t="shared" si="197"/>
        <v>267</v>
      </c>
      <c r="N376" s="57">
        <f t="shared" si="198"/>
        <v>293</v>
      </c>
      <c r="O376" s="57">
        <f t="shared" si="199"/>
        <v>322</v>
      </c>
      <c r="P376" s="57">
        <f t="shared" si="200"/>
        <v>354</v>
      </c>
      <c r="Q376" s="57"/>
    </row>
    <row r="377">
      <c r="A377" s="60" t="s">
        <v>30</v>
      </c>
      <c r="B377" s="26"/>
      <c r="C377" s="57"/>
      <c r="D377" s="57"/>
      <c r="E377" s="57"/>
      <c r="F377" s="57"/>
      <c r="G377" s="57"/>
      <c r="H377" s="65">
        <v>334.0</v>
      </c>
      <c r="I377" s="57">
        <f t="shared" si="193"/>
        <v>367</v>
      </c>
      <c r="J377" s="57">
        <f t="shared" si="194"/>
        <v>404</v>
      </c>
      <c r="K377" s="63">
        <f t="shared" si="195"/>
        <v>444</v>
      </c>
      <c r="L377" s="57">
        <f t="shared" si="196"/>
        <v>487</v>
      </c>
      <c r="M377" s="57">
        <f t="shared" si="197"/>
        <v>534</v>
      </c>
      <c r="N377" s="57">
        <f t="shared" si="198"/>
        <v>587</v>
      </c>
      <c r="O377" s="57">
        <f t="shared" si="199"/>
        <v>644</v>
      </c>
      <c r="P377" s="57">
        <f t="shared" si="200"/>
        <v>708</v>
      </c>
      <c r="Q377" s="57"/>
    </row>
    <row r="378">
      <c r="A378" s="60" t="s">
        <v>428</v>
      </c>
      <c r="B378" s="60" t="s">
        <v>456</v>
      </c>
      <c r="C378" s="57"/>
      <c r="D378" s="57"/>
      <c r="E378" s="57"/>
      <c r="F378" s="57"/>
      <c r="G378" s="57"/>
      <c r="H378" s="57"/>
      <c r="I378" s="57"/>
      <c r="J378" s="57"/>
      <c r="K378" s="63"/>
      <c r="L378" s="57"/>
      <c r="M378" s="57"/>
      <c r="N378" s="57"/>
      <c r="O378" s="57"/>
      <c r="P378" s="57"/>
      <c r="Q378" s="57"/>
    </row>
    <row r="379">
      <c r="A379" s="60" t="s">
        <v>55</v>
      </c>
      <c r="B379" s="60" t="s">
        <v>430</v>
      </c>
      <c r="C379" s="57"/>
      <c r="D379" s="57"/>
      <c r="E379" s="57"/>
      <c r="F379" s="57"/>
      <c r="G379" s="57"/>
      <c r="H379" s="57"/>
      <c r="I379" s="57"/>
      <c r="J379" s="57"/>
      <c r="K379" s="63"/>
      <c r="L379" s="57"/>
      <c r="M379" s="57"/>
      <c r="N379" s="57"/>
      <c r="O379" s="57"/>
      <c r="P379" s="57"/>
      <c r="Q379" s="57"/>
    </row>
    <row r="380">
      <c r="A380" s="60" t="s">
        <v>51</v>
      </c>
      <c r="B380" s="60" t="s">
        <v>451</v>
      </c>
      <c r="C380" s="57"/>
      <c r="D380" s="57"/>
      <c r="E380" s="57"/>
      <c r="F380" s="57"/>
      <c r="G380" s="57"/>
      <c r="H380" s="57"/>
      <c r="I380" s="57"/>
      <c r="J380" s="57"/>
      <c r="K380" s="63"/>
      <c r="L380" s="57"/>
      <c r="M380" s="57"/>
      <c r="N380" s="57"/>
      <c r="O380" s="57"/>
      <c r="P380" s="57"/>
      <c r="Q380" s="57"/>
    </row>
    <row r="381">
      <c r="A381" s="60" t="s">
        <v>49</v>
      </c>
      <c r="B381" s="60" t="s">
        <v>471</v>
      </c>
      <c r="C381" s="57"/>
      <c r="D381" s="57"/>
      <c r="E381" s="57"/>
      <c r="F381" s="57"/>
      <c r="G381" s="57"/>
      <c r="H381" s="57"/>
      <c r="I381" s="57"/>
      <c r="J381" s="57"/>
      <c r="K381" s="63"/>
      <c r="L381" s="57"/>
      <c r="M381" s="57"/>
      <c r="N381" s="57"/>
      <c r="O381" s="57"/>
      <c r="P381" s="57"/>
      <c r="Q381" s="57"/>
    </row>
    <row r="382">
      <c r="A382" s="60" t="s">
        <v>432</v>
      </c>
      <c r="B382" s="60" t="s">
        <v>452</v>
      </c>
      <c r="C382" s="57"/>
      <c r="D382" s="57"/>
      <c r="E382" s="57"/>
      <c r="F382" s="57"/>
      <c r="G382" s="57"/>
      <c r="H382" s="57"/>
      <c r="I382" s="57"/>
      <c r="J382" s="57"/>
      <c r="K382" s="63"/>
      <c r="L382" s="57"/>
      <c r="M382" s="57"/>
      <c r="N382" s="57"/>
      <c r="O382" s="57"/>
      <c r="P382" s="57"/>
      <c r="Q382" s="57"/>
    </row>
    <row r="383">
      <c r="A383" s="60" t="s">
        <v>53</v>
      </c>
      <c r="B383" s="60" t="s">
        <v>464</v>
      </c>
      <c r="C383" s="57"/>
      <c r="D383" s="57"/>
      <c r="E383" s="57"/>
      <c r="F383" s="57"/>
      <c r="G383" s="57"/>
      <c r="H383" s="57"/>
      <c r="I383" s="57"/>
      <c r="J383" s="57"/>
      <c r="K383" s="63"/>
      <c r="L383" s="57"/>
      <c r="M383" s="57"/>
      <c r="N383" s="57"/>
      <c r="O383" s="57"/>
      <c r="P383" s="57"/>
      <c r="Q383" s="57"/>
    </row>
    <row r="384">
      <c r="A384" s="60" t="s">
        <v>50</v>
      </c>
      <c r="B384" s="60" t="s">
        <v>98</v>
      </c>
      <c r="C384" s="57"/>
      <c r="D384" s="57"/>
      <c r="E384" s="57"/>
      <c r="F384" s="57"/>
      <c r="G384" s="57"/>
      <c r="H384" s="57"/>
      <c r="I384" s="57"/>
      <c r="J384" s="57"/>
      <c r="K384" s="63"/>
      <c r="L384" s="57"/>
      <c r="M384" s="57"/>
      <c r="N384" s="57"/>
      <c r="O384" s="57"/>
      <c r="P384" s="57"/>
      <c r="Q384" s="57"/>
    </row>
    <row r="385">
      <c r="A385" s="60" t="s">
        <v>438</v>
      </c>
      <c r="B385" s="60" t="s">
        <v>472</v>
      </c>
      <c r="C385" s="57"/>
      <c r="D385" s="57"/>
      <c r="E385" s="57"/>
      <c r="F385" s="57"/>
      <c r="G385" s="57"/>
      <c r="H385" s="57"/>
      <c r="I385" s="57"/>
      <c r="J385" s="57"/>
      <c r="K385" s="63"/>
      <c r="L385" s="57"/>
      <c r="M385" s="57"/>
      <c r="N385" s="57"/>
      <c r="O385" s="57"/>
      <c r="P385" s="57"/>
      <c r="Q385" s="57"/>
    </row>
    <row r="386">
      <c r="A386" s="60" t="s">
        <v>439</v>
      </c>
      <c r="B386" s="60" t="s">
        <v>505</v>
      </c>
      <c r="C386" s="57"/>
      <c r="D386" s="57"/>
      <c r="E386" s="57"/>
      <c r="F386" s="57"/>
      <c r="G386" s="57"/>
      <c r="H386" s="57"/>
      <c r="I386" s="57"/>
      <c r="J386" s="57"/>
      <c r="K386" s="63"/>
      <c r="L386" s="57"/>
      <c r="M386" s="57"/>
      <c r="N386" s="57"/>
      <c r="O386" s="57"/>
      <c r="P386" s="57"/>
      <c r="Q386" s="57"/>
    </row>
    <row r="387">
      <c r="A387" s="60" t="s">
        <v>441</v>
      </c>
      <c r="B387" s="60">
        <v>18.0</v>
      </c>
      <c r="C387" s="57"/>
      <c r="D387" s="57"/>
      <c r="E387" s="57"/>
      <c r="F387" s="57"/>
      <c r="G387" s="57"/>
      <c r="H387" s="57"/>
      <c r="I387" s="57"/>
      <c r="J387" s="57"/>
      <c r="K387" s="63"/>
      <c r="L387" s="57"/>
      <c r="M387" s="57"/>
      <c r="N387" s="57"/>
      <c r="O387" s="57"/>
      <c r="P387" s="57"/>
      <c r="Q387" s="57"/>
    </row>
    <row r="388">
      <c r="A388" s="60" t="s">
        <v>444</v>
      </c>
      <c r="B388" s="60" t="s">
        <v>445</v>
      </c>
      <c r="C388" s="57"/>
      <c r="D388" s="57"/>
      <c r="E388" s="57"/>
      <c r="F388" s="57"/>
      <c r="G388" s="57"/>
      <c r="H388" s="57"/>
      <c r="I388" s="57"/>
      <c r="J388" s="57"/>
      <c r="K388" s="63"/>
      <c r="L388" s="57"/>
      <c r="M388" s="57"/>
      <c r="N388" s="57"/>
      <c r="O388" s="57"/>
      <c r="P388" s="57"/>
      <c r="Q388" s="57"/>
    </row>
    <row r="389">
      <c r="A389" s="60" t="s">
        <v>446</v>
      </c>
      <c r="B389" s="60" t="s">
        <v>445</v>
      </c>
      <c r="C389" s="57"/>
      <c r="D389" s="57"/>
      <c r="E389" s="57"/>
      <c r="F389" s="57"/>
      <c r="G389" s="57"/>
      <c r="H389" s="57"/>
      <c r="I389" s="57"/>
      <c r="J389" s="57"/>
      <c r="K389" s="63"/>
      <c r="L389" s="57"/>
      <c r="M389" s="57"/>
      <c r="N389" s="57"/>
      <c r="O389" s="57"/>
      <c r="P389" s="57"/>
      <c r="Q389" s="57"/>
    </row>
    <row r="390">
      <c r="A390" s="60" t="s">
        <v>540</v>
      </c>
      <c r="B390" s="60" t="s">
        <v>541</v>
      </c>
      <c r="C390" s="57"/>
      <c r="D390" s="57"/>
      <c r="E390" s="57"/>
      <c r="F390" s="57"/>
      <c r="G390" s="57"/>
      <c r="H390" s="57"/>
      <c r="I390" s="57"/>
      <c r="J390" s="57"/>
      <c r="K390" s="63"/>
      <c r="L390" s="57"/>
      <c r="M390" s="57"/>
      <c r="N390" s="57"/>
      <c r="O390" s="57"/>
      <c r="P390" s="57"/>
      <c r="Q390" s="57"/>
    </row>
    <row r="391">
      <c r="A391" s="60" t="s">
        <v>542</v>
      </c>
      <c r="B391" s="60" t="s">
        <v>425</v>
      </c>
      <c r="C391" s="57"/>
      <c r="D391" s="57"/>
      <c r="E391" s="57"/>
      <c r="F391" s="57"/>
      <c r="G391" s="57"/>
      <c r="H391" s="57"/>
      <c r="I391" s="57"/>
      <c r="J391" s="57"/>
      <c r="K391" s="63"/>
      <c r="L391" s="57"/>
      <c r="M391" s="57"/>
      <c r="N391" s="57"/>
      <c r="O391" s="57"/>
      <c r="P391" s="57"/>
      <c r="Q391" s="57"/>
    </row>
    <row r="392">
      <c r="A392" s="60" t="s">
        <v>543</v>
      </c>
      <c r="B392" s="60" t="s">
        <v>498</v>
      </c>
      <c r="C392" s="57"/>
      <c r="D392" s="57"/>
      <c r="E392" s="57"/>
      <c r="F392" s="57"/>
      <c r="G392" s="57"/>
      <c r="H392" s="57"/>
      <c r="I392" s="57"/>
      <c r="J392" s="57"/>
      <c r="K392" s="63"/>
      <c r="L392" s="57"/>
      <c r="M392" s="57"/>
      <c r="N392" s="57"/>
      <c r="O392" s="57"/>
      <c r="P392" s="57"/>
      <c r="Q392" s="57"/>
    </row>
    <row r="393">
      <c r="A393" s="60" t="s">
        <v>544</v>
      </c>
      <c r="B393" s="60" t="s">
        <v>461</v>
      </c>
      <c r="C393" s="57"/>
      <c r="D393" s="57"/>
      <c r="E393" s="57"/>
      <c r="F393" s="57"/>
      <c r="G393" s="57"/>
      <c r="H393" s="57"/>
      <c r="I393" s="57"/>
      <c r="J393" s="57"/>
      <c r="K393" s="63"/>
      <c r="L393" s="57"/>
      <c r="M393" s="57"/>
      <c r="N393" s="57"/>
      <c r="O393" s="57"/>
      <c r="P393" s="57"/>
      <c r="Q393" s="57"/>
    </row>
    <row r="394">
      <c r="A394" s="60" t="s">
        <v>545</v>
      </c>
      <c r="B394" s="60" t="s">
        <v>445</v>
      </c>
      <c r="C394" s="57"/>
      <c r="D394" s="57"/>
      <c r="E394" s="57"/>
      <c r="F394" s="57"/>
      <c r="G394" s="57"/>
      <c r="H394" s="57"/>
      <c r="I394" s="57"/>
      <c r="J394" s="57"/>
      <c r="K394" s="63"/>
      <c r="L394" s="57"/>
      <c r="M394" s="57"/>
      <c r="N394" s="57"/>
      <c r="O394" s="57"/>
      <c r="P394" s="57"/>
      <c r="Q394" s="57"/>
    </row>
    <row r="395">
      <c r="A395" s="76" t="s">
        <v>190</v>
      </c>
      <c r="B395" s="60" t="s">
        <v>468</v>
      </c>
      <c r="C395" s="57"/>
      <c r="D395" s="57"/>
      <c r="E395" s="57"/>
      <c r="F395" s="57"/>
      <c r="G395" s="57"/>
      <c r="H395" s="57"/>
      <c r="I395" s="57"/>
      <c r="J395" s="57"/>
      <c r="K395" s="63"/>
      <c r="L395" s="57"/>
      <c r="M395" s="57"/>
      <c r="N395" s="57"/>
      <c r="O395" s="57"/>
      <c r="P395" s="57"/>
      <c r="Q395" s="57"/>
    </row>
    <row r="396">
      <c r="A396" s="69" t="s">
        <v>38</v>
      </c>
      <c r="B396" s="26"/>
      <c r="C396" s="57"/>
      <c r="D396" s="57"/>
      <c r="E396" s="57"/>
      <c r="F396" s="57"/>
      <c r="G396" s="57"/>
      <c r="H396" s="65">
        <v>524.0</v>
      </c>
      <c r="I396" s="57">
        <f t="shared" ref="I396:I397" si="201">ROUNDDOWN(H396*1.1,0)</f>
        <v>576</v>
      </c>
      <c r="J396" s="57">
        <f t="shared" ref="J396:J397" si="202">ROUNDDOWN(H396*1.21,0)</f>
        <v>634</v>
      </c>
      <c r="K396" s="63">
        <f t="shared" ref="K396:K397" si="203">ROUNDDOWN(H396*1.33,0)</f>
        <v>696</v>
      </c>
      <c r="L396" s="57">
        <f t="shared" ref="L396:L397" si="204">ROUNDDOWN(H396*1.46,0)</f>
        <v>765</v>
      </c>
      <c r="M396" s="57">
        <f t="shared" ref="M396:M397" si="205">ROUNDDOWN(H396*1.6,0)</f>
        <v>838</v>
      </c>
      <c r="N396" s="57">
        <f t="shared" ref="N396:N397" si="206">ROUNDDOWN(H396*1.76,0)</f>
        <v>922</v>
      </c>
      <c r="O396" s="57">
        <f t="shared" ref="O396:O397" si="207">ROUNDDOWN(H396*1.93,0)</f>
        <v>1011</v>
      </c>
      <c r="P396" s="57">
        <f t="shared" ref="P396:P397" si="208">ROUNDDOWN(H396*2.12,0)</f>
        <v>1110</v>
      </c>
      <c r="Q396" s="57"/>
    </row>
    <row r="397">
      <c r="A397" s="69" t="s">
        <v>24</v>
      </c>
      <c r="B397" s="26"/>
      <c r="C397" s="57"/>
      <c r="D397" s="57"/>
      <c r="E397" s="57"/>
      <c r="F397" s="57"/>
      <c r="G397" s="57"/>
      <c r="H397" s="65">
        <v>84.0</v>
      </c>
      <c r="I397" s="57">
        <f t="shared" si="201"/>
        <v>92</v>
      </c>
      <c r="J397" s="57">
        <f t="shared" si="202"/>
        <v>101</v>
      </c>
      <c r="K397" s="63">
        <f t="shared" si="203"/>
        <v>111</v>
      </c>
      <c r="L397" s="57">
        <f t="shared" si="204"/>
        <v>122</v>
      </c>
      <c r="M397" s="57">
        <f t="shared" si="205"/>
        <v>134</v>
      </c>
      <c r="N397" s="57">
        <f t="shared" si="206"/>
        <v>147</v>
      </c>
      <c r="O397" s="57">
        <f t="shared" si="207"/>
        <v>162</v>
      </c>
      <c r="P397" s="57">
        <f t="shared" si="208"/>
        <v>178</v>
      </c>
      <c r="Q397" s="57"/>
    </row>
    <row r="398">
      <c r="A398" s="69" t="s">
        <v>503</v>
      </c>
      <c r="B398" s="26"/>
      <c r="C398" s="65"/>
      <c r="D398" s="57"/>
      <c r="E398" s="57"/>
      <c r="F398" s="57"/>
      <c r="G398" s="57"/>
      <c r="H398" s="65">
        <f t="shared" ref="H398:P398" si="209">H$3</f>
        <v>6</v>
      </c>
      <c r="I398" s="65">
        <f t="shared" si="209"/>
        <v>7</v>
      </c>
      <c r="J398" s="65">
        <f t="shared" si="209"/>
        <v>8</v>
      </c>
      <c r="K398" s="66">
        <f t="shared" si="209"/>
        <v>9</v>
      </c>
      <c r="L398" s="65">
        <f t="shared" si="209"/>
        <v>10</v>
      </c>
      <c r="M398" s="65">
        <f t="shared" si="209"/>
        <v>11</v>
      </c>
      <c r="N398" s="65">
        <f t="shared" si="209"/>
        <v>12</v>
      </c>
      <c r="O398" s="65">
        <f t="shared" si="209"/>
        <v>13</v>
      </c>
      <c r="P398" s="65">
        <f t="shared" si="209"/>
        <v>14</v>
      </c>
      <c r="Q398" s="57"/>
    </row>
    <row r="399">
      <c r="A399" s="69" t="s">
        <v>428</v>
      </c>
      <c r="B399" s="60" t="s">
        <v>429</v>
      </c>
      <c r="C399" s="57"/>
      <c r="D399" s="57"/>
      <c r="E399" s="57"/>
      <c r="F399" s="57"/>
      <c r="G399" s="57"/>
      <c r="H399" s="57"/>
      <c r="I399" s="57"/>
      <c r="J399" s="57"/>
      <c r="K399" s="63"/>
      <c r="L399" s="57"/>
      <c r="M399" s="57"/>
      <c r="N399" s="57"/>
      <c r="O399" s="57"/>
      <c r="P399" s="57"/>
      <c r="Q399" s="57"/>
    </row>
    <row r="400">
      <c r="A400" s="69" t="s">
        <v>55</v>
      </c>
      <c r="B400" s="60" t="s">
        <v>430</v>
      </c>
      <c r="C400" s="57"/>
      <c r="D400" s="57"/>
      <c r="E400" s="57"/>
      <c r="F400" s="57"/>
      <c r="G400" s="57"/>
      <c r="H400" s="57"/>
      <c r="I400" s="57"/>
      <c r="J400" s="57"/>
      <c r="K400" s="63"/>
      <c r="L400" s="57"/>
      <c r="M400" s="57"/>
      <c r="N400" s="57"/>
      <c r="O400" s="57"/>
      <c r="P400" s="57"/>
      <c r="Q400" s="57"/>
    </row>
    <row r="401">
      <c r="A401" s="69" t="s">
        <v>51</v>
      </c>
      <c r="B401" s="60" t="s">
        <v>451</v>
      </c>
      <c r="C401" s="57"/>
      <c r="D401" s="57"/>
      <c r="E401" s="57"/>
      <c r="F401" s="57"/>
      <c r="G401" s="57"/>
      <c r="H401" s="57"/>
      <c r="I401" s="57"/>
      <c r="J401" s="57"/>
      <c r="K401" s="63"/>
      <c r="L401" s="57"/>
      <c r="M401" s="57"/>
      <c r="N401" s="57"/>
      <c r="O401" s="57"/>
      <c r="P401" s="57"/>
      <c r="Q401" s="57"/>
    </row>
    <row r="402">
      <c r="A402" s="69" t="s">
        <v>49</v>
      </c>
      <c r="B402" s="60" t="s">
        <v>453</v>
      </c>
      <c r="C402" s="57"/>
      <c r="D402" s="57"/>
      <c r="E402" s="57"/>
      <c r="F402" s="57"/>
      <c r="G402" s="57"/>
      <c r="H402" s="57"/>
      <c r="I402" s="57"/>
      <c r="J402" s="57"/>
      <c r="K402" s="63"/>
      <c r="L402" s="57"/>
      <c r="M402" s="57"/>
      <c r="N402" s="57"/>
      <c r="O402" s="57"/>
      <c r="P402" s="57"/>
      <c r="Q402" s="57"/>
    </row>
    <row r="403">
      <c r="A403" s="69" t="s">
        <v>432</v>
      </c>
      <c r="B403" s="60" t="s">
        <v>448</v>
      </c>
      <c r="C403" s="57"/>
      <c r="D403" s="57"/>
      <c r="E403" s="57"/>
      <c r="F403" s="57"/>
      <c r="G403" s="57"/>
      <c r="H403" s="57"/>
      <c r="I403" s="57"/>
      <c r="J403" s="57"/>
      <c r="K403" s="63"/>
      <c r="L403" s="57"/>
      <c r="M403" s="57"/>
      <c r="N403" s="57"/>
      <c r="O403" s="57"/>
      <c r="P403" s="57"/>
      <c r="Q403" s="57"/>
    </row>
    <row r="404">
      <c r="A404" s="69" t="s">
        <v>422</v>
      </c>
      <c r="B404" s="60" t="s">
        <v>454</v>
      </c>
      <c r="C404" s="57"/>
      <c r="D404" s="57"/>
      <c r="E404" s="57"/>
      <c r="F404" s="57"/>
      <c r="G404" s="57"/>
      <c r="H404" s="57"/>
      <c r="I404" s="57"/>
      <c r="J404" s="57"/>
      <c r="K404" s="63"/>
      <c r="L404" s="57"/>
      <c r="M404" s="57"/>
      <c r="N404" s="57"/>
      <c r="O404" s="57"/>
      <c r="P404" s="57"/>
      <c r="Q404" s="57"/>
    </row>
    <row r="405">
      <c r="A405" s="69" t="s">
        <v>435</v>
      </c>
      <c r="B405" s="60" t="s">
        <v>436</v>
      </c>
      <c r="C405" s="57"/>
      <c r="D405" s="57"/>
      <c r="E405" s="57"/>
      <c r="F405" s="57"/>
      <c r="G405" s="57"/>
      <c r="H405" s="57"/>
      <c r="I405" s="57"/>
      <c r="J405" s="57"/>
      <c r="K405" s="63"/>
      <c r="L405" s="57"/>
      <c r="M405" s="57"/>
      <c r="N405" s="57"/>
      <c r="O405" s="57"/>
      <c r="P405" s="57"/>
      <c r="Q405" s="57"/>
    </row>
    <row r="406">
      <c r="A406" s="69" t="s">
        <v>483</v>
      </c>
      <c r="B406" s="60" t="s">
        <v>505</v>
      </c>
      <c r="C406" s="57"/>
      <c r="D406" s="57"/>
      <c r="E406" s="57"/>
      <c r="F406" s="57"/>
      <c r="G406" s="57"/>
      <c r="H406" s="57"/>
      <c r="I406" s="57"/>
      <c r="J406" s="57"/>
      <c r="K406" s="63"/>
      <c r="L406" s="57"/>
      <c r="M406" s="57"/>
      <c r="N406" s="57"/>
      <c r="O406" s="57"/>
      <c r="P406" s="57"/>
      <c r="Q406" s="57"/>
    </row>
    <row r="407">
      <c r="A407" s="69" t="s">
        <v>53</v>
      </c>
      <c r="B407" s="60" t="s">
        <v>429</v>
      </c>
      <c r="C407" s="57"/>
      <c r="D407" s="57"/>
      <c r="E407" s="57"/>
      <c r="F407" s="57"/>
      <c r="G407" s="57"/>
      <c r="H407" s="57"/>
      <c r="I407" s="57"/>
      <c r="J407" s="57"/>
      <c r="K407" s="63"/>
      <c r="L407" s="57"/>
      <c r="M407" s="57"/>
      <c r="N407" s="57"/>
      <c r="O407" s="57"/>
      <c r="P407" s="57"/>
      <c r="Q407" s="57"/>
    </row>
    <row r="408">
      <c r="A408" s="69" t="s">
        <v>50</v>
      </c>
      <c r="B408" s="60" t="s">
        <v>425</v>
      </c>
      <c r="C408" s="57"/>
      <c r="D408" s="57"/>
      <c r="E408" s="57"/>
      <c r="F408" s="57"/>
      <c r="G408" s="57"/>
      <c r="H408" s="57"/>
      <c r="I408" s="57"/>
      <c r="J408" s="57"/>
      <c r="K408" s="63"/>
      <c r="L408" s="57"/>
      <c r="M408" s="57"/>
      <c r="N408" s="57"/>
      <c r="O408" s="57"/>
      <c r="P408" s="57"/>
      <c r="Q408" s="57"/>
    </row>
    <row r="409">
      <c r="A409" s="69" t="s">
        <v>438</v>
      </c>
      <c r="B409" s="60" t="s">
        <v>436</v>
      </c>
      <c r="C409" s="57"/>
      <c r="D409" s="57"/>
      <c r="E409" s="57"/>
      <c r="F409" s="57"/>
      <c r="G409" s="57"/>
      <c r="H409" s="57"/>
      <c r="I409" s="57"/>
      <c r="J409" s="57"/>
      <c r="K409" s="63"/>
      <c r="L409" s="57"/>
      <c r="M409" s="57"/>
      <c r="N409" s="57"/>
      <c r="O409" s="57"/>
      <c r="P409" s="57"/>
      <c r="Q409" s="57"/>
    </row>
    <row r="410">
      <c r="A410" s="69" t="s">
        <v>439</v>
      </c>
      <c r="B410" s="60" t="s">
        <v>440</v>
      </c>
      <c r="C410" s="57"/>
      <c r="D410" s="57"/>
      <c r="E410" s="57"/>
      <c r="F410" s="57"/>
      <c r="G410" s="57"/>
      <c r="H410" s="57"/>
      <c r="I410" s="57"/>
      <c r="J410" s="57"/>
      <c r="K410" s="63"/>
      <c r="L410" s="57"/>
      <c r="M410" s="57"/>
      <c r="N410" s="57"/>
      <c r="O410" s="57"/>
      <c r="P410" s="57"/>
      <c r="Q410" s="57"/>
    </row>
    <row r="411">
      <c r="A411" s="69" t="s">
        <v>441</v>
      </c>
      <c r="B411" s="60">
        <v>8.0</v>
      </c>
      <c r="C411" s="57"/>
      <c r="D411" s="57"/>
      <c r="E411" s="57"/>
      <c r="F411" s="57"/>
      <c r="G411" s="57"/>
      <c r="H411" s="57"/>
      <c r="I411" s="57"/>
      <c r="J411" s="57"/>
      <c r="K411" s="63"/>
      <c r="L411" s="57"/>
      <c r="M411" s="57"/>
      <c r="N411" s="57"/>
      <c r="O411" s="57"/>
      <c r="P411" s="57"/>
      <c r="Q411" s="57"/>
    </row>
    <row r="412">
      <c r="A412" s="69" t="s">
        <v>546</v>
      </c>
      <c r="B412" s="60" t="s">
        <v>430</v>
      </c>
      <c r="C412" s="57"/>
      <c r="D412" s="57"/>
      <c r="E412" s="57"/>
      <c r="F412" s="57"/>
      <c r="G412" s="57"/>
      <c r="H412" s="57"/>
      <c r="I412" s="57"/>
      <c r="J412" s="57"/>
      <c r="K412" s="63"/>
      <c r="L412" s="57"/>
      <c r="M412" s="57"/>
      <c r="N412" s="57"/>
      <c r="O412" s="57"/>
      <c r="P412" s="57"/>
      <c r="Q412" s="57"/>
    </row>
    <row r="413">
      <c r="A413" s="69" t="s">
        <v>506</v>
      </c>
      <c r="B413" s="60">
        <v>4.0</v>
      </c>
      <c r="C413" s="57"/>
      <c r="D413" s="57"/>
      <c r="E413" s="57"/>
      <c r="F413" s="57"/>
      <c r="G413" s="57"/>
      <c r="H413" s="57"/>
      <c r="I413" s="57"/>
      <c r="J413" s="57"/>
      <c r="K413" s="63"/>
      <c r="L413" s="57"/>
      <c r="M413" s="57"/>
      <c r="N413" s="57"/>
      <c r="O413" s="57"/>
      <c r="P413" s="57"/>
      <c r="Q413" s="57"/>
    </row>
    <row r="414">
      <c r="A414" s="69" t="s">
        <v>47</v>
      </c>
      <c r="B414" s="60" t="s">
        <v>547</v>
      </c>
      <c r="C414" s="57"/>
      <c r="D414" s="57"/>
      <c r="E414" s="57"/>
      <c r="F414" s="57"/>
      <c r="G414" s="57"/>
      <c r="H414" s="57"/>
      <c r="I414" s="57"/>
      <c r="J414" s="57"/>
      <c r="K414" s="63"/>
      <c r="L414" s="57"/>
      <c r="M414" s="57"/>
      <c r="N414" s="57"/>
      <c r="O414" s="57"/>
      <c r="P414" s="57"/>
      <c r="Q414" s="57"/>
    </row>
    <row r="415">
      <c r="A415" s="69" t="s">
        <v>508</v>
      </c>
      <c r="B415" s="60" t="s">
        <v>538</v>
      </c>
      <c r="C415" s="57"/>
      <c r="D415" s="57"/>
      <c r="E415" s="57"/>
      <c r="F415" s="57"/>
      <c r="G415" s="57"/>
      <c r="H415" s="57"/>
      <c r="I415" s="57"/>
      <c r="J415" s="57"/>
      <c r="K415" s="63"/>
      <c r="L415" s="57"/>
      <c r="M415" s="57"/>
      <c r="N415" s="57"/>
      <c r="O415" s="57"/>
      <c r="P415" s="57"/>
      <c r="Q415" s="57"/>
    </row>
    <row r="416">
      <c r="A416" s="69" t="s">
        <v>467</v>
      </c>
      <c r="B416" s="60" t="s">
        <v>478</v>
      </c>
      <c r="C416" s="57"/>
      <c r="D416" s="57"/>
      <c r="E416" s="57"/>
      <c r="F416" s="57"/>
      <c r="G416" s="57"/>
      <c r="H416" s="57"/>
      <c r="I416" s="57"/>
      <c r="J416" s="57"/>
      <c r="K416" s="63"/>
      <c r="L416" s="57"/>
      <c r="M416" s="57"/>
      <c r="N416" s="57"/>
      <c r="O416" s="57"/>
      <c r="P416" s="57"/>
      <c r="Q416" s="57"/>
    </row>
    <row r="417">
      <c r="A417" s="69" t="s">
        <v>444</v>
      </c>
      <c r="B417" s="60" t="s">
        <v>445</v>
      </c>
      <c r="C417" s="57"/>
      <c r="D417" s="57"/>
      <c r="E417" s="57"/>
      <c r="F417" s="57"/>
      <c r="G417" s="57"/>
      <c r="H417" s="57"/>
      <c r="I417" s="57"/>
      <c r="J417" s="57"/>
      <c r="K417" s="63"/>
      <c r="L417" s="57"/>
      <c r="M417" s="57"/>
      <c r="N417" s="57"/>
      <c r="O417" s="57"/>
      <c r="P417" s="57"/>
      <c r="Q417" s="57"/>
    </row>
    <row r="418">
      <c r="A418" s="69" t="s">
        <v>446</v>
      </c>
      <c r="B418" s="60" t="s">
        <v>445</v>
      </c>
      <c r="C418" s="57"/>
      <c r="D418" s="57"/>
      <c r="E418" s="57"/>
      <c r="F418" s="57"/>
      <c r="G418" s="57"/>
      <c r="H418" s="57"/>
      <c r="I418" s="57"/>
      <c r="J418" s="57"/>
      <c r="K418" s="63"/>
      <c r="L418" s="57"/>
      <c r="M418" s="57"/>
      <c r="N418" s="57"/>
      <c r="O418" s="57"/>
      <c r="P418" s="57"/>
      <c r="Q418" s="57"/>
    </row>
    <row r="419">
      <c r="A419" s="67" t="s">
        <v>136</v>
      </c>
      <c r="B419" s="60" t="s">
        <v>416</v>
      </c>
      <c r="C419" s="57"/>
      <c r="D419" s="57"/>
      <c r="E419" s="57"/>
      <c r="F419" s="57"/>
      <c r="G419" s="57"/>
      <c r="H419" s="57"/>
      <c r="I419" s="57"/>
      <c r="J419" s="57"/>
      <c r="K419" s="63"/>
      <c r="L419" s="57"/>
      <c r="M419" s="57"/>
      <c r="N419" s="57"/>
      <c r="O419" s="57"/>
      <c r="P419" s="57"/>
      <c r="Q419" s="57"/>
    </row>
    <row r="420">
      <c r="A420" s="60" t="s">
        <v>38</v>
      </c>
      <c r="B420" s="26"/>
      <c r="C420" s="65">
        <v>350.0</v>
      </c>
      <c r="D420" s="57">
        <f t="shared" ref="D420:D421" si="210">ROUNDDOWN(C420*1.1,0)</f>
        <v>385</v>
      </c>
      <c r="E420" s="57">
        <f t="shared" ref="E420:E421" si="211">ROUNDDOWN(C420*1.21,0)</f>
        <v>423</v>
      </c>
      <c r="F420" s="57">
        <f t="shared" ref="F420:F421" si="212">ROUNDDOWN(C420*1.33,0)</f>
        <v>465</v>
      </c>
      <c r="G420" s="57">
        <f t="shared" ref="G420:G421" si="213">ROUNDDOWN(C420*1.46,0)</f>
        <v>511</v>
      </c>
      <c r="H420" s="57">
        <f t="shared" ref="H420:H421" si="214">ROUNDDOWN(C420*1.6,0)</f>
        <v>560</v>
      </c>
      <c r="I420" s="57">
        <f t="shared" ref="I420:I421" si="215">ROUNDDOWN(C420*1.76,0)</f>
        <v>616</v>
      </c>
      <c r="J420" s="57">
        <f t="shared" ref="J420:J421" si="216">ROUNDDOWN(C420*1.93,0)</f>
        <v>675</v>
      </c>
      <c r="K420" s="63">
        <f t="shared" ref="K420:K421" si="217">ROUNDDOWN(C420*2.12,0)</f>
        <v>742</v>
      </c>
      <c r="L420" s="57">
        <f t="shared" ref="L420:L421" si="218">ROUNDDOWN(C420*2.33,0)</f>
        <v>815</v>
      </c>
      <c r="M420" s="57">
        <f t="shared" ref="M420:M421" si="219">ROUNDDOWN(C420*2.56,0)</f>
        <v>896</v>
      </c>
      <c r="N420" s="57">
        <f t="shared" ref="N420:N421" si="220">ROUNDDOWN(C420*2.81,0)</f>
        <v>983</v>
      </c>
      <c r="O420" s="57">
        <f t="shared" ref="O420:O421" si="221">ROUNDDOWN(C420*3.09,0)</f>
        <v>1081</v>
      </c>
      <c r="P420" s="57">
        <f t="shared" ref="P420:P421" si="222">ROUNDDOWN(C420*3.39,0)</f>
        <v>1186</v>
      </c>
      <c r="Q420" s="57"/>
    </row>
    <row r="421">
      <c r="A421" s="60" t="s">
        <v>24</v>
      </c>
      <c r="B421" s="60"/>
      <c r="C421" s="65">
        <v>83.0</v>
      </c>
      <c r="D421" s="57">
        <f t="shared" si="210"/>
        <v>91</v>
      </c>
      <c r="E421" s="57">
        <f t="shared" si="211"/>
        <v>100</v>
      </c>
      <c r="F421" s="57">
        <f t="shared" si="212"/>
        <v>110</v>
      </c>
      <c r="G421" s="57">
        <f t="shared" si="213"/>
        <v>121</v>
      </c>
      <c r="H421" s="57">
        <f t="shared" si="214"/>
        <v>132</v>
      </c>
      <c r="I421" s="57">
        <f t="shared" si="215"/>
        <v>146</v>
      </c>
      <c r="J421" s="57">
        <f t="shared" si="216"/>
        <v>160</v>
      </c>
      <c r="K421" s="63">
        <f t="shared" si="217"/>
        <v>175</v>
      </c>
      <c r="L421" s="57">
        <f t="shared" si="218"/>
        <v>193</v>
      </c>
      <c r="M421" s="57">
        <f t="shared" si="219"/>
        <v>212</v>
      </c>
      <c r="N421" s="57">
        <f t="shared" si="220"/>
        <v>233</v>
      </c>
      <c r="O421" s="57">
        <f t="shared" si="221"/>
        <v>256</v>
      </c>
      <c r="P421" s="57">
        <f t="shared" si="222"/>
        <v>281</v>
      </c>
      <c r="Q421" s="57"/>
    </row>
    <row r="422">
      <c r="A422" s="60" t="s">
        <v>428</v>
      </c>
      <c r="B422" s="60" t="s">
        <v>429</v>
      </c>
      <c r="C422" s="57"/>
      <c r="D422" s="57"/>
      <c r="E422" s="57"/>
      <c r="F422" s="57"/>
      <c r="G422" s="57"/>
      <c r="H422" s="57"/>
      <c r="I422" s="57"/>
      <c r="J422" s="57"/>
      <c r="K422" s="63"/>
      <c r="L422" s="57"/>
      <c r="M422" s="57"/>
      <c r="N422" s="57"/>
      <c r="O422" s="57"/>
      <c r="P422" s="57"/>
      <c r="Q422" s="57"/>
    </row>
    <row r="423">
      <c r="A423" s="60" t="s">
        <v>55</v>
      </c>
      <c r="B423" s="60" t="s">
        <v>430</v>
      </c>
      <c r="C423" s="57"/>
      <c r="D423" s="57"/>
      <c r="E423" s="57"/>
      <c r="F423" s="57"/>
      <c r="G423" s="57"/>
      <c r="H423" s="57"/>
      <c r="I423" s="57"/>
      <c r="J423" s="57"/>
      <c r="K423" s="63"/>
      <c r="L423" s="57"/>
      <c r="M423" s="57"/>
      <c r="N423" s="57"/>
      <c r="O423" s="57"/>
      <c r="P423" s="57"/>
      <c r="Q423" s="57"/>
    </row>
    <row r="424">
      <c r="A424" s="60" t="s">
        <v>49</v>
      </c>
      <c r="B424" s="60" t="s">
        <v>430</v>
      </c>
      <c r="C424" s="57"/>
      <c r="D424" s="57"/>
      <c r="E424" s="57"/>
      <c r="F424" s="57"/>
      <c r="G424" s="57"/>
      <c r="H424" s="57"/>
      <c r="I424" s="57"/>
      <c r="J424" s="57"/>
      <c r="K424" s="63"/>
      <c r="L424" s="57"/>
      <c r="M424" s="57"/>
      <c r="N424" s="57"/>
      <c r="O424" s="57"/>
      <c r="P424" s="57"/>
      <c r="Q424" s="57"/>
    </row>
    <row r="425">
      <c r="A425" s="60" t="s">
        <v>422</v>
      </c>
      <c r="B425" s="60" t="s">
        <v>434</v>
      </c>
      <c r="C425" s="57"/>
      <c r="D425" s="57"/>
      <c r="E425" s="57"/>
      <c r="F425" s="57"/>
      <c r="G425" s="57"/>
      <c r="H425" s="57"/>
      <c r="I425" s="57"/>
      <c r="J425" s="57"/>
      <c r="K425" s="63"/>
      <c r="L425" s="57"/>
      <c r="M425" s="57"/>
      <c r="N425" s="57"/>
      <c r="O425" s="57"/>
      <c r="P425" s="57"/>
      <c r="Q425" s="57"/>
    </row>
    <row r="426">
      <c r="A426" s="60" t="s">
        <v>435</v>
      </c>
      <c r="B426" s="60" t="s">
        <v>436</v>
      </c>
      <c r="C426" s="57"/>
      <c r="D426" s="57"/>
      <c r="E426" s="57"/>
      <c r="F426" s="57"/>
      <c r="G426" s="57"/>
      <c r="H426" s="57"/>
      <c r="I426" s="57"/>
      <c r="J426" s="57"/>
      <c r="K426" s="63"/>
      <c r="L426" s="57"/>
      <c r="M426" s="57"/>
      <c r="N426" s="57"/>
      <c r="O426" s="57"/>
      <c r="P426" s="57"/>
      <c r="Q426" s="57"/>
    </row>
    <row r="427">
      <c r="A427" s="60" t="s">
        <v>53</v>
      </c>
      <c r="B427" s="60" t="s">
        <v>429</v>
      </c>
      <c r="C427" s="57"/>
      <c r="D427" s="57"/>
      <c r="E427" s="57"/>
      <c r="F427" s="57"/>
      <c r="G427" s="57"/>
      <c r="H427" s="57"/>
      <c r="I427" s="57"/>
      <c r="J427" s="57"/>
      <c r="K427" s="63"/>
      <c r="L427" s="57"/>
      <c r="M427" s="57"/>
      <c r="N427" s="57"/>
      <c r="O427" s="57"/>
      <c r="P427" s="57"/>
      <c r="Q427" s="57"/>
    </row>
    <row r="428">
      <c r="A428" s="60" t="s">
        <v>50</v>
      </c>
      <c r="B428" s="60" t="s">
        <v>98</v>
      </c>
      <c r="C428" s="57"/>
      <c r="D428" s="57"/>
      <c r="E428" s="57"/>
      <c r="F428" s="57"/>
      <c r="G428" s="57"/>
      <c r="H428" s="57"/>
      <c r="I428" s="57"/>
      <c r="J428" s="57"/>
      <c r="K428" s="63"/>
      <c r="L428" s="57"/>
      <c r="M428" s="57"/>
      <c r="N428" s="57"/>
      <c r="O428" s="57"/>
      <c r="P428" s="57"/>
      <c r="Q428" s="57"/>
    </row>
    <row r="429">
      <c r="A429" s="60" t="s">
        <v>56</v>
      </c>
      <c r="B429" s="60" t="s">
        <v>548</v>
      </c>
      <c r="C429" s="57"/>
      <c r="D429" s="57"/>
      <c r="E429" s="57"/>
      <c r="F429" s="57"/>
      <c r="G429" s="57"/>
      <c r="H429" s="57"/>
      <c r="I429" s="57"/>
      <c r="J429" s="57"/>
      <c r="K429" s="63"/>
      <c r="L429" s="57"/>
      <c r="M429" s="57"/>
      <c r="N429" s="57"/>
      <c r="O429" s="57"/>
      <c r="P429" s="57"/>
      <c r="Q429" s="57"/>
    </row>
    <row r="430">
      <c r="A430" s="60" t="s">
        <v>439</v>
      </c>
      <c r="B430" s="60" t="s">
        <v>502</v>
      </c>
      <c r="C430" s="57"/>
      <c r="D430" s="57"/>
      <c r="E430" s="57"/>
      <c r="F430" s="57"/>
      <c r="G430" s="57"/>
      <c r="H430" s="57"/>
      <c r="I430" s="57"/>
      <c r="J430" s="57"/>
      <c r="K430" s="63"/>
      <c r="L430" s="57"/>
      <c r="M430" s="57"/>
      <c r="N430" s="57"/>
      <c r="O430" s="57"/>
      <c r="P430" s="57"/>
      <c r="Q430" s="57"/>
    </row>
    <row r="431">
      <c r="A431" s="60" t="s">
        <v>444</v>
      </c>
      <c r="B431" s="60" t="s">
        <v>505</v>
      </c>
      <c r="C431" s="57"/>
      <c r="D431" s="57"/>
      <c r="E431" s="57"/>
      <c r="F431" s="57"/>
      <c r="G431" s="57"/>
      <c r="H431" s="57"/>
      <c r="I431" s="57"/>
      <c r="J431" s="57"/>
      <c r="K431" s="63"/>
      <c r="L431" s="57"/>
      <c r="M431" s="57"/>
      <c r="N431" s="57"/>
      <c r="O431" s="57"/>
      <c r="P431" s="57"/>
      <c r="Q431" s="57"/>
    </row>
    <row r="432">
      <c r="A432" s="60" t="s">
        <v>446</v>
      </c>
      <c r="B432" s="60" t="s">
        <v>462</v>
      </c>
      <c r="C432" s="57"/>
      <c r="D432" s="57"/>
      <c r="E432" s="57"/>
      <c r="F432" s="57"/>
      <c r="G432" s="57"/>
      <c r="H432" s="57"/>
      <c r="I432" s="57"/>
      <c r="J432" s="57"/>
      <c r="K432" s="63"/>
      <c r="L432" s="57"/>
      <c r="M432" s="57"/>
      <c r="N432" s="57"/>
      <c r="O432" s="57"/>
      <c r="P432" s="57"/>
      <c r="Q432" s="57"/>
    </row>
    <row r="433">
      <c r="A433" s="67" t="s">
        <v>139</v>
      </c>
      <c r="B433" s="60" t="s">
        <v>468</v>
      </c>
      <c r="C433" s="57"/>
      <c r="D433" s="57"/>
      <c r="E433" s="57"/>
      <c r="F433" s="57"/>
      <c r="G433" s="57"/>
      <c r="H433" s="57"/>
      <c r="I433" s="57"/>
      <c r="J433" s="57"/>
      <c r="K433" s="63"/>
      <c r="L433" s="57"/>
      <c r="M433" s="57"/>
      <c r="N433" s="57"/>
      <c r="O433" s="57"/>
      <c r="P433" s="57"/>
      <c r="Q433" s="57"/>
    </row>
    <row r="434">
      <c r="A434" s="60" t="s">
        <v>38</v>
      </c>
      <c r="B434" s="26"/>
      <c r="C434" s="65">
        <v>262.0</v>
      </c>
      <c r="D434" s="57">
        <f t="shared" ref="D434:D435" si="223">ROUNDDOWN(C434*1.1,0)</f>
        <v>288</v>
      </c>
      <c r="E434" s="57">
        <f t="shared" ref="E434:E435" si="224">ROUNDDOWN(C434*1.21,0)</f>
        <v>317</v>
      </c>
      <c r="F434" s="57">
        <f t="shared" ref="F434:F435" si="225">ROUNDDOWN(C434*1.33,0)</f>
        <v>348</v>
      </c>
      <c r="G434" s="57">
        <f t="shared" ref="G434:G435" si="226">ROUNDDOWN(C434*1.46,0)</f>
        <v>382</v>
      </c>
      <c r="H434" s="57">
        <f t="shared" ref="H434:H435" si="227">ROUNDDOWN(C434*1.6,0)</f>
        <v>419</v>
      </c>
      <c r="I434" s="57">
        <f t="shared" ref="I434:I435" si="228">ROUNDDOWN(C434*1.76,0)</f>
        <v>461</v>
      </c>
      <c r="J434" s="57">
        <f t="shared" ref="J434:J435" si="229">ROUNDDOWN(C434*1.93,0)</f>
        <v>505</v>
      </c>
      <c r="K434" s="63">
        <f t="shared" ref="K434:K435" si="230">ROUNDDOWN(C434*2.12,0)</f>
        <v>555</v>
      </c>
      <c r="L434" s="57">
        <f t="shared" ref="L434:L435" si="231">ROUNDDOWN(C434*2.33,0)</f>
        <v>610</v>
      </c>
      <c r="M434" s="57">
        <f t="shared" ref="M434:M435" si="232">ROUNDDOWN(C434*2.56,0)</f>
        <v>670</v>
      </c>
      <c r="N434" s="57">
        <f t="shared" ref="N434:N435" si="233">ROUNDDOWN(C434*2.81,0)</f>
        <v>736</v>
      </c>
      <c r="O434" s="57">
        <f t="shared" ref="O434:O435" si="234">ROUNDDOWN(C434*3.09,0)</f>
        <v>809</v>
      </c>
      <c r="P434" s="57">
        <f t="shared" ref="P434:P435" si="235">ROUNDDOWN(C434*3.39,0)</f>
        <v>888</v>
      </c>
      <c r="Q434" s="57"/>
    </row>
    <row r="435">
      <c r="A435" s="60" t="s">
        <v>24</v>
      </c>
      <c r="B435" s="26"/>
      <c r="C435" s="65">
        <v>75.0</v>
      </c>
      <c r="D435" s="57">
        <f t="shared" si="223"/>
        <v>82</v>
      </c>
      <c r="E435" s="57">
        <f t="shared" si="224"/>
        <v>90</v>
      </c>
      <c r="F435" s="57">
        <f t="shared" si="225"/>
        <v>99</v>
      </c>
      <c r="G435" s="57">
        <f t="shared" si="226"/>
        <v>109</v>
      </c>
      <c r="H435" s="57">
        <f t="shared" si="227"/>
        <v>120</v>
      </c>
      <c r="I435" s="57">
        <f t="shared" si="228"/>
        <v>132</v>
      </c>
      <c r="J435" s="57">
        <f t="shared" si="229"/>
        <v>144</v>
      </c>
      <c r="K435" s="63">
        <f t="shared" si="230"/>
        <v>159</v>
      </c>
      <c r="L435" s="57">
        <f t="shared" si="231"/>
        <v>174</v>
      </c>
      <c r="M435" s="57">
        <f t="shared" si="232"/>
        <v>192</v>
      </c>
      <c r="N435" s="57">
        <f t="shared" si="233"/>
        <v>210</v>
      </c>
      <c r="O435" s="57">
        <f t="shared" si="234"/>
        <v>231</v>
      </c>
      <c r="P435" s="57">
        <f t="shared" si="235"/>
        <v>254</v>
      </c>
      <c r="Q435" s="57"/>
    </row>
    <row r="436">
      <c r="A436" s="60" t="s">
        <v>428</v>
      </c>
      <c r="B436" s="60" t="s">
        <v>429</v>
      </c>
      <c r="C436" s="57"/>
      <c r="D436" s="57"/>
      <c r="E436" s="57"/>
      <c r="F436" s="57"/>
      <c r="G436" s="57"/>
      <c r="H436" s="57"/>
      <c r="I436" s="57"/>
      <c r="J436" s="57"/>
      <c r="K436" s="63"/>
      <c r="L436" s="57"/>
      <c r="M436" s="57"/>
      <c r="N436" s="57"/>
      <c r="O436" s="57"/>
      <c r="P436" s="57"/>
      <c r="Q436" s="57"/>
    </row>
    <row r="437">
      <c r="A437" s="60" t="s">
        <v>55</v>
      </c>
      <c r="B437" s="60" t="s">
        <v>430</v>
      </c>
      <c r="C437" s="57"/>
      <c r="D437" s="57"/>
      <c r="E437" s="57"/>
      <c r="F437" s="57"/>
      <c r="G437" s="57"/>
      <c r="H437" s="57"/>
      <c r="I437" s="57"/>
      <c r="J437" s="57"/>
      <c r="K437" s="63"/>
      <c r="L437" s="57"/>
      <c r="M437" s="57"/>
      <c r="N437" s="57"/>
      <c r="O437" s="57"/>
      <c r="P437" s="57"/>
      <c r="Q437" s="57"/>
    </row>
    <row r="438">
      <c r="A438" s="60" t="s">
        <v>51</v>
      </c>
      <c r="B438" s="60" t="s">
        <v>451</v>
      </c>
      <c r="C438" s="57"/>
      <c r="D438" s="57"/>
      <c r="E438" s="57"/>
      <c r="F438" s="57"/>
      <c r="G438" s="57"/>
      <c r="H438" s="57"/>
      <c r="I438" s="57"/>
      <c r="J438" s="57"/>
      <c r="K438" s="63"/>
      <c r="L438" s="57"/>
      <c r="M438" s="57"/>
      <c r="N438" s="57"/>
      <c r="O438" s="57"/>
      <c r="P438" s="57"/>
      <c r="Q438" s="57"/>
    </row>
    <row r="439">
      <c r="A439" s="60" t="s">
        <v>49</v>
      </c>
      <c r="B439" s="60" t="s">
        <v>492</v>
      </c>
      <c r="C439" s="57"/>
      <c r="D439" s="57"/>
      <c r="E439" s="57"/>
      <c r="F439" s="57"/>
      <c r="G439" s="57"/>
      <c r="H439" s="57"/>
      <c r="I439" s="57"/>
      <c r="J439" s="57"/>
      <c r="K439" s="63"/>
      <c r="L439" s="57"/>
      <c r="M439" s="57"/>
      <c r="N439" s="57"/>
      <c r="O439" s="57"/>
      <c r="P439" s="57"/>
      <c r="Q439" s="57"/>
    </row>
    <row r="440">
      <c r="A440" s="60" t="s">
        <v>432</v>
      </c>
      <c r="B440" s="60" t="s">
        <v>430</v>
      </c>
      <c r="C440" s="57"/>
      <c r="D440" s="57"/>
      <c r="E440" s="57"/>
      <c r="F440" s="57"/>
      <c r="G440" s="57"/>
      <c r="H440" s="57"/>
      <c r="I440" s="57"/>
      <c r="J440" s="57"/>
      <c r="K440" s="63"/>
      <c r="L440" s="57"/>
      <c r="M440" s="57"/>
      <c r="N440" s="57"/>
      <c r="O440" s="57"/>
      <c r="P440" s="57"/>
      <c r="Q440" s="57"/>
    </row>
    <row r="441">
      <c r="A441" s="60" t="s">
        <v>53</v>
      </c>
      <c r="B441" s="60" t="s">
        <v>549</v>
      </c>
      <c r="C441" s="65"/>
      <c r="D441" s="57"/>
      <c r="E441" s="57"/>
      <c r="F441" s="57"/>
      <c r="G441" s="57"/>
      <c r="H441" s="57"/>
      <c r="I441" s="57"/>
      <c r="J441" s="57"/>
      <c r="K441" s="63"/>
      <c r="L441" s="57"/>
      <c r="M441" s="57"/>
      <c r="N441" s="57"/>
      <c r="O441" s="57"/>
      <c r="P441" s="57"/>
      <c r="Q441" s="57"/>
    </row>
    <row r="442">
      <c r="A442" s="60" t="s">
        <v>50</v>
      </c>
      <c r="B442" s="60" t="s">
        <v>98</v>
      </c>
      <c r="C442" s="65"/>
      <c r="D442" s="57"/>
      <c r="E442" s="57"/>
      <c r="F442" s="57"/>
      <c r="G442" s="57"/>
      <c r="H442" s="57"/>
      <c r="I442" s="57"/>
      <c r="J442" s="57"/>
      <c r="K442" s="63"/>
      <c r="L442" s="57"/>
      <c r="M442" s="57"/>
      <c r="N442" s="57"/>
      <c r="O442" s="57"/>
      <c r="P442" s="57"/>
      <c r="Q442" s="57"/>
    </row>
    <row r="443">
      <c r="A443" s="60" t="s">
        <v>438</v>
      </c>
      <c r="B443" s="60" t="s">
        <v>436</v>
      </c>
      <c r="C443" s="65"/>
      <c r="D443" s="57"/>
      <c r="E443" s="57"/>
      <c r="F443" s="57"/>
      <c r="G443" s="57"/>
      <c r="H443" s="57"/>
      <c r="I443" s="57"/>
      <c r="J443" s="57"/>
      <c r="K443" s="63"/>
      <c r="L443" s="57"/>
      <c r="M443" s="57"/>
      <c r="N443" s="57"/>
      <c r="O443" s="57"/>
      <c r="P443" s="57"/>
      <c r="Q443" s="57"/>
    </row>
    <row r="444">
      <c r="A444" s="60" t="s">
        <v>439</v>
      </c>
      <c r="B444" s="60" t="s">
        <v>440</v>
      </c>
      <c r="C444" s="65"/>
      <c r="D444" s="57"/>
      <c r="E444" s="57"/>
      <c r="F444" s="57"/>
      <c r="G444" s="57"/>
      <c r="H444" s="57"/>
      <c r="I444" s="57"/>
      <c r="J444" s="57"/>
      <c r="K444" s="63"/>
      <c r="L444" s="57"/>
      <c r="M444" s="57"/>
      <c r="N444" s="57"/>
      <c r="O444" s="57"/>
      <c r="P444" s="57"/>
      <c r="Q444" s="57"/>
    </row>
    <row r="445">
      <c r="A445" s="60" t="s">
        <v>441</v>
      </c>
      <c r="B445" s="60">
        <v>4.0</v>
      </c>
      <c r="C445" s="65"/>
      <c r="D445" s="57"/>
      <c r="E445" s="57"/>
      <c r="F445" s="57"/>
      <c r="G445" s="57"/>
      <c r="H445" s="57"/>
      <c r="I445" s="57"/>
      <c r="J445" s="57"/>
      <c r="K445" s="63"/>
      <c r="L445" s="57"/>
      <c r="M445" s="57"/>
      <c r="N445" s="57"/>
      <c r="O445" s="57"/>
      <c r="P445" s="57"/>
      <c r="Q445" s="57"/>
    </row>
    <row r="446">
      <c r="A446" s="60" t="s">
        <v>444</v>
      </c>
      <c r="B446" s="60" t="s">
        <v>445</v>
      </c>
      <c r="C446" s="65"/>
      <c r="D446" s="57"/>
      <c r="E446" s="57"/>
      <c r="F446" s="57"/>
      <c r="G446" s="57"/>
      <c r="H446" s="57"/>
      <c r="I446" s="57"/>
      <c r="J446" s="57"/>
      <c r="K446" s="63"/>
      <c r="L446" s="57"/>
      <c r="M446" s="57"/>
      <c r="N446" s="57"/>
      <c r="O446" s="57"/>
      <c r="P446" s="57"/>
      <c r="Q446" s="57"/>
    </row>
    <row r="447">
      <c r="A447" s="60" t="s">
        <v>446</v>
      </c>
      <c r="B447" s="60" t="s">
        <v>445</v>
      </c>
      <c r="C447" s="65"/>
      <c r="D447" s="57"/>
      <c r="E447" s="57"/>
      <c r="F447" s="57"/>
      <c r="G447" s="57"/>
      <c r="H447" s="57"/>
      <c r="I447" s="57"/>
      <c r="J447" s="57"/>
      <c r="K447" s="63"/>
      <c r="L447" s="57"/>
      <c r="M447" s="57"/>
      <c r="N447" s="57"/>
      <c r="O447" s="57"/>
      <c r="P447" s="57"/>
      <c r="Q447" s="57"/>
    </row>
    <row r="448">
      <c r="A448" s="60" t="s">
        <v>447</v>
      </c>
      <c r="B448" s="60" t="s">
        <v>448</v>
      </c>
      <c r="C448" s="65"/>
      <c r="D448" s="57"/>
      <c r="E448" s="57"/>
      <c r="F448" s="57"/>
      <c r="G448" s="57"/>
      <c r="H448" s="57"/>
      <c r="I448" s="57"/>
      <c r="J448" s="57"/>
      <c r="K448" s="63"/>
      <c r="L448" s="57"/>
      <c r="M448" s="57"/>
      <c r="N448" s="57"/>
      <c r="O448" s="57"/>
      <c r="P448" s="57"/>
      <c r="Q448" s="57"/>
    </row>
    <row r="449">
      <c r="A449" s="60" t="s">
        <v>57</v>
      </c>
      <c r="B449" s="60">
        <v>5.0</v>
      </c>
      <c r="C449" s="65"/>
      <c r="D449" s="57"/>
      <c r="E449" s="57"/>
      <c r="F449" s="57"/>
      <c r="G449" s="57"/>
      <c r="H449" s="57"/>
      <c r="I449" s="57"/>
      <c r="J449" s="57"/>
      <c r="K449" s="63"/>
      <c r="L449" s="57"/>
      <c r="M449" s="57"/>
      <c r="N449" s="57"/>
      <c r="O449" s="57"/>
      <c r="P449" s="57"/>
      <c r="Q449" s="57"/>
    </row>
    <row r="450">
      <c r="A450" s="60" t="s">
        <v>489</v>
      </c>
      <c r="B450" s="60" t="s">
        <v>549</v>
      </c>
      <c r="C450" s="65"/>
      <c r="D450" s="57"/>
      <c r="E450" s="57"/>
      <c r="F450" s="57"/>
      <c r="G450" s="57"/>
      <c r="H450" s="57"/>
      <c r="I450" s="57"/>
      <c r="J450" s="57"/>
      <c r="K450" s="63"/>
      <c r="L450" s="57"/>
      <c r="M450" s="57"/>
      <c r="N450" s="57"/>
      <c r="O450" s="57"/>
      <c r="P450" s="57"/>
      <c r="Q450" s="57"/>
    </row>
    <row r="451">
      <c r="A451" s="60" t="s">
        <v>449</v>
      </c>
      <c r="B451" s="60" t="s">
        <v>450</v>
      </c>
      <c r="C451" s="65"/>
      <c r="D451" s="57"/>
      <c r="E451" s="57"/>
      <c r="F451" s="57"/>
      <c r="G451" s="57"/>
      <c r="H451" s="57"/>
      <c r="I451" s="57"/>
      <c r="J451" s="57"/>
      <c r="K451" s="63"/>
      <c r="L451" s="57"/>
      <c r="M451" s="57"/>
      <c r="N451" s="57"/>
      <c r="O451" s="57"/>
      <c r="P451" s="57"/>
      <c r="Q451" s="57"/>
    </row>
    <row r="452">
      <c r="A452" s="68" t="s">
        <v>358</v>
      </c>
      <c r="B452" s="60" t="s">
        <v>550</v>
      </c>
      <c r="C452" s="57"/>
      <c r="D452" s="57"/>
      <c r="E452" s="57"/>
      <c r="F452" s="57"/>
      <c r="G452" s="57"/>
      <c r="H452" s="57"/>
      <c r="I452" s="57"/>
      <c r="J452" s="57"/>
      <c r="K452" s="63"/>
      <c r="L452" s="57"/>
      <c r="M452" s="57"/>
      <c r="N452" s="57"/>
      <c r="O452" s="57"/>
      <c r="P452" s="57"/>
      <c r="Q452" s="57"/>
    </row>
    <row r="453">
      <c r="A453" s="60" t="s">
        <v>38</v>
      </c>
      <c r="B453" s="26"/>
      <c r="C453" s="57"/>
      <c r="D453" s="57"/>
      <c r="E453" s="65">
        <v>650.0</v>
      </c>
      <c r="F453" s="57">
        <f>ROUNDDOWN(E453*1.1,0)</f>
        <v>715</v>
      </c>
      <c r="G453" s="57">
        <f>ROUNDDOWN(E453*1.21,0)</f>
        <v>786</v>
      </c>
      <c r="H453" s="57">
        <f>ROUNDDOWN(E453*1.33,0)</f>
        <v>864</v>
      </c>
      <c r="I453" s="57">
        <f>ROUNDDOWN(E453*1.46,0)</f>
        <v>949</v>
      </c>
      <c r="J453" s="57">
        <f>ROUNDDOWN(E453*1.6,0)</f>
        <v>1040</v>
      </c>
      <c r="K453" s="63">
        <f>ROUNDDOWN(E453*1.76,0)</f>
        <v>1144</v>
      </c>
      <c r="L453" s="57">
        <f>ROUNDDOWN(E453*1.93,0)</f>
        <v>1254</v>
      </c>
      <c r="M453" s="57">
        <f>ROUNDDOWN(E453*2.12,0)</f>
        <v>1378</v>
      </c>
      <c r="N453" s="57">
        <f>ROUNDDOWN(E453*2.33,0)</f>
        <v>1514</v>
      </c>
      <c r="O453" s="57">
        <f>ROUNDDOWN(E453*2.56,0)</f>
        <v>1664</v>
      </c>
      <c r="P453" s="57">
        <f>ROUNDDOWN(E453*2.81,0)</f>
        <v>1826</v>
      </c>
      <c r="Q453" s="57"/>
    </row>
    <row r="454">
      <c r="A454" s="60" t="s">
        <v>503</v>
      </c>
      <c r="B454" s="26"/>
      <c r="C454" s="57"/>
      <c r="D454" s="57"/>
      <c r="E454" s="65">
        <f t="shared" ref="E454:P454" si="236">E$3</f>
        <v>3</v>
      </c>
      <c r="F454" s="65">
        <f t="shared" si="236"/>
        <v>4</v>
      </c>
      <c r="G454" s="65">
        <f t="shared" si="236"/>
        <v>5</v>
      </c>
      <c r="H454" s="65">
        <f t="shared" si="236"/>
        <v>6</v>
      </c>
      <c r="I454" s="65">
        <f t="shared" si="236"/>
        <v>7</v>
      </c>
      <c r="J454" s="65">
        <f t="shared" si="236"/>
        <v>8</v>
      </c>
      <c r="K454" s="66">
        <f t="shared" si="236"/>
        <v>9</v>
      </c>
      <c r="L454" s="65">
        <f t="shared" si="236"/>
        <v>10</v>
      </c>
      <c r="M454" s="65">
        <f t="shared" si="236"/>
        <v>11</v>
      </c>
      <c r="N454" s="65">
        <f t="shared" si="236"/>
        <v>12</v>
      </c>
      <c r="O454" s="65">
        <f t="shared" si="236"/>
        <v>13</v>
      </c>
      <c r="P454" s="65">
        <f t="shared" si="236"/>
        <v>14</v>
      </c>
      <c r="Q454" s="57"/>
    </row>
    <row r="455">
      <c r="A455" s="60" t="s">
        <v>55</v>
      </c>
      <c r="B455" s="60" t="s">
        <v>430</v>
      </c>
      <c r="C455" s="57"/>
      <c r="D455" s="57"/>
      <c r="E455" s="57"/>
      <c r="F455" s="57"/>
      <c r="G455" s="57"/>
      <c r="H455" s="57"/>
      <c r="I455" s="57"/>
      <c r="J455" s="57"/>
      <c r="K455" s="63"/>
      <c r="L455" s="57"/>
      <c r="M455" s="57"/>
      <c r="N455" s="57"/>
      <c r="O455" s="57"/>
      <c r="P455" s="57"/>
      <c r="Q455" s="57"/>
    </row>
    <row r="456">
      <c r="A456" s="60" t="s">
        <v>56</v>
      </c>
      <c r="B456" s="60" t="s">
        <v>551</v>
      </c>
      <c r="C456" s="57"/>
      <c r="D456" s="57"/>
      <c r="E456" s="57"/>
      <c r="F456" s="57"/>
      <c r="G456" s="57"/>
      <c r="H456" s="57"/>
      <c r="I456" s="57"/>
      <c r="J456" s="57"/>
      <c r="K456" s="63"/>
      <c r="L456" s="57"/>
      <c r="M456" s="57"/>
      <c r="N456" s="57"/>
      <c r="O456" s="57"/>
      <c r="P456" s="57"/>
      <c r="Q456" s="57"/>
    </row>
    <row r="457">
      <c r="A457" s="60" t="s">
        <v>439</v>
      </c>
      <c r="B457" s="60" t="s">
        <v>505</v>
      </c>
      <c r="C457" s="57"/>
      <c r="D457" s="57"/>
      <c r="E457" s="57"/>
      <c r="F457" s="57"/>
      <c r="G457" s="57"/>
      <c r="H457" s="57"/>
      <c r="I457" s="57"/>
      <c r="J457" s="57"/>
      <c r="K457" s="63"/>
      <c r="L457" s="57"/>
      <c r="M457" s="57"/>
      <c r="N457" s="57"/>
      <c r="O457" s="57"/>
      <c r="P457" s="57"/>
      <c r="Q457" s="57"/>
    </row>
    <row r="458">
      <c r="A458" s="60" t="s">
        <v>552</v>
      </c>
      <c r="B458" s="60" t="s">
        <v>433</v>
      </c>
      <c r="C458" s="57"/>
      <c r="D458" s="57"/>
      <c r="E458" s="57"/>
      <c r="F458" s="57"/>
      <c r="G458" s="57"/>
      <c r="H458" s="57"/>
      <c r="I458" s="57"/>
      <c r="J458" s="57"/>
      <c r="K458" s="63"/>
      <c r="L458" s="57"/>
      <c r="M458" s="57"/>
      <c r="N458" s="57"/>
      <c r="O458" s="57"/>
      <c r="P458" s="57"/>
      <c r="Q458" s="57"/>
    </row>
    <row r="459">
      <c r="A459" s="60" t="s">
        <v>506</v>
      </c>
      <c r="B459" s="60">
        <v>2.0</v>
      </c>
      <c r="C459" s="57"/>
      <c r="D459" s="57"/>
      <c r="E459" s="57"/>
      <c r="F459" s="57"/>
      <c r="G459" s="57"/>
      <c r="H459" s="57"/>
      <c r="I459" s="57"/>
      <c r="J459" s="57"/>
      <c r="K459" s="63"/>
      <c r="L459" s="57"/>
      <c r="M459" s="57"/>
      <c r="N459" s="57"/>
      <c r="O459" s="57"/>
      <c r="P459" s="57"/>
      <c r="Q459" s="57"/>
    </row>
    <row r="460">
      <c r="A460" s="60" t="s">
        <v>47</v>
      </c>
      <c r="B460" s="60" t="s">
        <v>553</v>
      </c>
      <c r="C460" s="57"/>
      <c r="D460" s="57"/>
      <c r="E460" s="57"/>
      <c r="F460" s="57"/>
      <c r="G460" s="57"/>
      <c r="H460" s="57"/>
      <c r="I460" s="57"/>
      <c r="J460" s="57"/>
      <c r="K460" s="63"/>
      <c r="L460" s="57"/>
      <c r="M460" s="57"/>
      <c r="N460" s="57"/>
      <c r="O460" s="57"/>
      <c r="P460" s="57"/>
      <c r="Q460" s="57"/>
    </row>
    <row r="461">
      <c r="A461" s="60" t="s">
        <v>508</v>
      </c>
      <c r="B461" s="60" t="s">
        <v>146</v>
      </c>
      <c r="C461" s="57"/>
      <c r="D461" s="57"/>
      <c r="E461" s="57"/>
      <c r="F461" s="57"/>
      <c r="G461" s="57"/>
      <c r="H461" s="57"/>
      <c r="I461" s="57"/>
      <c r="J461" s="57"/>
      <c r="K461" s="63"/>
      <c r="L461" s="57"/>
      <c r="M461" s="57"/>
      <c r="N461" s="57"/>
      <c r="O461" s="57"/>
      <c r="P461" s="57"/>
      <c r="Q461" s="57"/>
    </row>
    <row r="462">
      <c r="A462" s="60" t="s">
        <v>510</v>
      </c>
      <c r="B462" s="60">
        <v>2.0</v>
      </c>
      <c r="C462" s="57"/>
      <c r="D462" s="57"/>
      <c r="E462" s="57"/>
      <c r="F462" s="57"/>
      <c r="G462" s="57"/>
      <c r="H462" s="57"/>
      <c r="I462" s="57"/>
      <c r="J462" s="57"/>
      <c r="K462" s="63"/>
      <c r="L462" s="57"/>
      <c r="M462" s="57"/>
      <c r="N462" s="57"/>
      <c r="O462" s="57"/>
      <c r="P462" s="57"/>
      <c r="Q462" s="57"/>
    </row>
    <row r="463">
      <c r="A463" s="60" t="s">
        <v>511</v>
      </c>
      <c r="B463" s="60" t="s">
        <v>146</v>
      </c>
      <c r="C463" s="57"/>
      <c r="D463" s="57"/>
      <c r="E463" s="57"/>
      <c r="F463" s="57"/>
      <c r="G463" s="57"/>
      <c r="H463" s="57"/>
      <c r="I463" s="57"/>
      <c r="J463" s="57"/>
      <c r="K463" s="63"/>
      <c r="L463" s="57"/>
      <c r="M463" s="57"/>
      <c r="N463" s="57"/>
      <c r="O463" s="57"/>
      <c r="P463" s="57"/>
      <c r="Q463" s="57"/>
    </row>
    <row r="464">
      <c r="A464" s="68" t="s">
        <v>144</v>
      </c>
      <c r="B464" s="60" t="s">
        <v>459</v>
      </c>
      <c r="C464" s="57"/>
      <c r="D464" s="57"/>
      <c r="E464" s="57"/>
      <c r="F464" s="57"/>
      <c r="G464" s="57"/>
      <c r="H464" s="57"/>
      <c r="I464" s="57"/>
      <c r="J464" s="57"/>
      <c r="K464" s="63"/>
      <c r="L464" s="57"/>
      <c r="M464" s="57"/>
      <c r="N464" s="57"/>
      <c r="O464" s="57"/>
      <c r="P464" s="57"/>
      <c r="Q464" s="57"/>
    </row>
    <row r="465">
      <c r="A465" s="60" t="s">
        <v>38</v>
      </c>
      <c r="B465" s="26"/>
      <c r="C465" s="57"/>
      <c r="D465" s="57"/>
      <c r="E465" s="65">
        <v>430.0</v>
      </c>
      <c r="F465" s="57">
        <f t="shared" ref="F465:F467" si="237">ROUNDDOWN(E465*1.1,0)</f>
        <v>473</v>
      </c>
      <c r="G465" s="57">
        <f t="shared" ref="G465:G467" si="238">ROUNDDOWN(E465*1.21,0)</f>
        <v>520</v>
      </c>
      <c r="H465" s="57">
        <f t="shared" ref="H465:H467" si="239">ROUNDDOWN(E465*1.33,0)</f>
        <v>571</v>
      </c>
      <c r="I465" s="57">
        <f t="shared" ref="I465:I467" si="240">ROUNDDOWN(E465*1.46,0)</f>
        <v>627</v>
      </c>
      <c r="J465" s="57">
        <f t="shared" ref="J465:J467" si="241">ROUNDDOWN(E465*1.6,0)</f>
        <v>688</v>
      </c>
      <c r="K465" s="63">
        <f t="shared" ref="K465:K467" si="242">ROUNDDOWN(E465*1.76,0)</f>
        <v>756</v>
      </c>
      <c r="L465" s="57">
        <f t="shared" ref="L465:L467" si="243">ROUNDDOWN(E465*1.93,0)</f>
        <v>829</v>
      </c>
      <c r="M465" s="57">
        <f t="shared" ref="M465:M467" si="244">ROUNDDOWN(E465*2.12,0)</f>
        <v>911</v>
      </c>
      <c r="N465" s="57">
        <f t="shared" ref="N465:N467" si="245">ROUNDDOWN(E465*2.33,0)</f>
        <v>1001</v>
      </c>
      <c r="O465" s="57">
        <f t="shared" ref="O465:O467" si="246">ROUNDDOWN(E465*2.56,0)</f>
        <v>1100</v>
      </c>
      <c r="P465" s="57">
        <f t="shared" ref="P465:P467" si="247">ROUNDDOWN(E465*2.81,0)</f>
        <v>1208</v>
      </c>
      <c r="Q465" s="57"/>
    </row>
    <row r="466">
      <c r="A466" s="60" t="s">
        <v>24</v>
      </c>
      <c r="B466" s="26"/>
      <c r="C466" s="57"/>
      <c r="D466" s="57"/>
      <c r="E466" s="65">
        <v>125.0</v>
      </c>
      <c r="F466" s="57">
        <f t="shared" si="237"/>
        <v>137</v>
      </c>
      <c r="G466" s="57">
        <f t="shared" si="238"/>
        <v>151</v>
      </c>
      <c r="H466" s="57">
        <f t="shared" si="239"/>
        <v>166</v>
      </c>
      <c r="I466" s="57">
        <f t="shared" si="240"/>
        <v>182</v>
      </c>
      <c r="J466" s="57">
        <f t="shared" si="241"/>
        <v>200</v>
      </c>
      <c r="K466" s="63">
        <f t="shared" si="242"/>
        <v>220</v>
      </c>
      <c r="L466" s="57">
        <f t="shared" si="243"/>
        <v>241</v>
      </c>
      <c r="M466" s="57">
        <f t="shared" si="244"/>
        <v>265</v>
      </c>
      <c r="N466" s="57">
        <f t="shared" si="245"/>
        <v>291</v>
      </c>
      <c r="O466" s="57">
        <f t="shared" si="246"/>
        <v>320</v>
      </c>
      <c r="P466" s="57">
        <f t="shared" si="247"/>
        <v>351</v>
      </c>
      <c r="Q466" s="57"/>
    </row>
    <row r="467">
      <c r="A467" s="60" t="s">
        <v>27</v>
      </c>
      <c r="B467" s="26"/>
      <c r="C467" s="57"/>
      <c r="D467" s="57"/>
      <c r="E467" s="65">
        <v>250.0</v>
      </c>
      <c r="F467" s="57">
        <f t="shared" si="237"/>
        <v>275</v>
      </c>
      <c r="G467" s="57">
        <f t="shared" si="238"/>
        <v>302</v>
      </c>
      <c r="H467" s="57">
        <f t="shared" si="239"/>
        <v>332</v>
      </c>
      <c r="I467" s="57">
        <f t="shared" si="240"/>
        <v>365</v>
      </c>
      <c r="J467" s="57">
        <f t="shared" si="241"/>
        <v>400</v>
      </c>
      <c r="K467" s="63">
        <f t="shared" si="242"/>
        <v>440</v>
      </c>
      <c r="L467" s="57">
        <f t="shared" si="243"/>
        <v>482</v>
      </c>
      <c r="M467" s="57">
        <f t="shared" si="244"/>
        <v>530</v>
      </c>
      <c r="N467" s="57">
        <f t="shared" si="245"/>
        <v>582</v>
      </c>
      <c r="O467" s="57">
        <f t="shared" si="246"/>
        <v>640</v>
      </c>
      <c r="P467" s="57">
        <f t="shared" si="247"/>
        <v>702</v>
      </c>
      <c r="Q467" s="57"/>
    </row>
    <row r="468">
      <c r="A468" s="60" t="s">
        <v>503</v>
      </c>
      <c r="B468" s="26"/>
      <c r="C468" s="65"/>
      <c r="D468" s="57"/>
      <c r="E468" s="65">
        <f t="shared" ref="E468:P468" si="248">E$3</f>
        <v>3</v>
      </c>
      <c r="F468" s="65">
        <f t="shared" si="248"/>
        <v>4</v>
      </c>
      <c r="G468" s="65">
        <f t="shared" si="248"/>
        <v>5</v>
      </c>
      <c r="H468" s="65">
        <f t="shared" si="248"/>
        <v>6</v>
      </c>
      <c r="I468" s="65">
        <f t="shared" si="248"/>
        <v>7</v>
      </c>
      <c r="J468" s="65">
        <f t="shared" si="248"/>
        <v>8</v>
      </c>
      <c r="K468" s="66">
        <f t="shared" si="248"/>
        <v>9</v>
      </c>
      <c r="L468" s="65">
        <f t="shared" si="248"/>
        <v>10</v>
      </c>
      <c r="M468" s="65">
        <f t="shared" si="248"/>
        <v>11</v>
      </c>
      <c r="N468" s="65">
        <f t="shared" si="248"/>
        <v>12</v>
      </c>
      <c r="O468" s="65">
        <f t="shared" si="248"/>
        <v>13</v>
      </c>
      <c r="P468" s="65">
        <f t="shared" si="248"/>
        <v>14</v>
      </c>
      <c r="Q468" s="57"/>
    </row>
    <row r="469">
      <c r="A469" s="60" t="s">
        <v>428</v>
      </c>
      <c r="B469" s="60" t="s">
        <v>429</v>
      </c>
      <c r="C469" s="57"/>
      <c r="D469" s="57"/>
      <c r="E469" s="57"/>
      <c r="F469" s="57"/>
      <c r="G469" s="57"/>
      <c r="H469" s="57"/>
      <c r="I469" s="57"/>
      <c r="J469" s="57"/>
      <c r="K469" s="63"/>
      <c r="L469" s="57"/>
      <c r="M469" s="57"/>
      <c r="N469" s="57"/>
      <c r="O469" s="57"/>
      <c r="P469" s="57"/>
      <c r="Q469" s="57"/>
    </row>
    <row r="470">
      <c r="A470" s="60" t="s">
        <v>55</v>
      </c>
      <c r="B470" s="60" t="s">
        <v>430</v>
      </c>
      <c r="C470" s="57"/>
      <c r="D470" s="57"/>
      <c r="E470" s="57"/>
      <c r="F470" s="57"/>
      <c r="G470" s="57"/>
      <c r="H470" s="57"/>
      <c r="I470" s="57"/>
      <c r="J470" s="57"/>
      <c r="K470" s="63"/>
      <c r="L470" s="57"/>
      <c r="M470" s="57"/>
      <c r="N470" s="57"/>
      <c r="O470" s="57"/>
      <c r="P470" s="57"/>
      <c r="Q470" s="57"/>
    </row>
    <row r="471">
      <c r="A471" s="60" t="s">
        <v>490</v>
      </c>
      <c r="B471" s="60" t="s">
        <v>491</v>
      </c>
      <c r="C471" s="57"/>
      <c r="D471" s="57"/>
      <c r="E471" s="57"/>
      <c r="F471" s="57"/>
      <c r="G471" s="57"/>
      <c r="H471" s="57"/>
      <c r="I471" s="57"/>
      <c r="J471" s="57"/>
      <c r="K471" s="63"/>
      <c r="L471" s="57"/>
      <c r="M471" s="57"/>
      <c r="N471" s="57"/>
      <c r="O471" s="57"/>
      <c r="P471" s="57"/>
      <c r="Q471" s="57"/>
    </row>
    <row r="472">
      <c r="A472" s="60" t="s">
        <v>51</v>
      </c>
      <c r="B472" s="60" t="s">
        <v>451</v>
      </c>
      <c r="C472" s="57"/>
      <c r="D472" s="57"/>
      <c r="E472" s="57"/>
      <c r="F472" s="57"/>
      <c r="G472" s="57"/>
      <c r="H472" s="57"/>
      <c r="I472" s="57"/>
      <c r="J472" s="57"/>
      <c r="K472" s="63"/>
      <c r="L472" s="57"/>
      <c r="M472" s="57"/>
      <c r="N472" s="57"/>
      <c r="O472" s="57"/>
      <c r="P472" s="57"/>
      <c r="Q472" s="57"/>
    </row>
    <row r="473">
      <c r="A473" s="60" t="s">
        <v>49</v>
      </c>
      <c r="B473" s="60" t="s">
        <v>448</v>
      </c>
      <c r="C473" s="57"/>
      <c r="D473" s="57"/>
      <c r="E473" s="57"/>
      <c r="F473" s="57"/>
      <c r="G473" s="57"/>
      <c r="H473" s="57"/>
      <c r="I473" s="57"/>
      <c r="J473" s="57"/>
      <c r="K473" s="63"/>
      <c r="L473" s="57"/>
      <c r="M473" s="57"/>
      <c r="N473" s="57"/>
      <c r="O473" s="57"/>
      <c r="P473" s="57"/>
      <c r="Q473" s="57"/>
    </row>
    <row r="474">
      <c r="A474" s="60" t="s">
        <v>432</v>
      </c>
      <c r="B474" s="60" t="s">
        <v>554</v>
      </c>
      <c r="C474" s="57"/>
      <c r="D474" s="57"/>
      <c r="E474" s="57"/>
      <c r="F474" s="57"/>
      <c r="G474" s="57"/>
      <c r="H474" s="57"/>
      <c r="I474" s="57"/>
      <c r="J474" s="57"/>
      <c r="K474" s="63"/>
      <c r="L474" s="57"/>
      <c r="M474" s="57"/>
      <c r="N474" s="57"/>
      <c r="O474" s="57"/>
      <c r="P474" s="57"/>
      <c r="Q474" s="57"/>
    </row>
    <row r="475">
      <c r="A475" s="60" t="s">
        <v>53</v>
      </c>
      <c r="B475" s="60" t="s">
        <v>440</v>
      </c>
      <c r="C475" s="57"/>
      <c r="D475" s="57"/>
      <c r="E475" s="57"/>
      <c r="F475" s="57"/>
      <c r="G475" s="57"/>
      <c r="H475" s="57"/>
      <c r="I475" s="57"/>
      <c r="J475" s="57"/>
      <c r="K475" s="63"/>
      <c r="L475" s="57"/>
      <c r="M475" s="57"/>
      <c r="N475" s="57"/>
      <c r="O475" s="57"/>
      <c r="P475" s="57"/>
      <c r="Q475" s="57"/>
    </row>
    <row r="476">
      <c r="A476" s="60" t="s">
        <v>50</v>
      </c>
      <c r="B476" s="60" t="s">
        <v>109</v>
      </c>
      <c r="C476" s="57"/>
      <c r="D476" s="57"/>
      <c r="E476" s="57"/>
      <c r="F476" s="57"/>
      <c r="G476" s="57"/>
      <c r="H476" s="57"/>
      <c r="I476" s="57"/>
      <c r="J476" s="57"/>
      <c r="K476" s="63"/>
      <c r="L476" s="57"/>
      <c r="M476" s="57"/>
      <c r="N476" s="57"/>
      <c r="O476" s="57"/>
      <c r="P476" s="57"/>
      <c r="Q476" s="57"/>
    </row>
    <row r="477">
      <c r="A477" s="60" t="s">
        <v>438</v>
      </c>
      <c r="B477" s="60" t="s">
        <v>472</v>
      </c>
      <c r="C477" s="57"/>
      <c r="D477" s="57"/>
      <c r="E477" s="57"/>
      <c r="F477" s="57"/>
      <c r="G477" s="57"/>
      <c r="H477" s="57"/>
      <c r="I477" s="57"/>
      <c r="J477" s="57"/>
      <c r="K477" s="63"/>
      <c r="L477" s="57"/>
      <c r="M477" s="57"/>
      <c r="N477" s="57"/>
      <c r="O477" s="57"/>
      <c r="P477" s="57"/>
      <c r="Q477" s="57"/>
    </row>
    <row r="478">
      <c r="A478" s="60" t="s">
        <v>439</v>
      </c>
      <c r="B478" s="60" t="s">
        <v>473</v>
      </c>
      <c r="C478" s="57"/>
      <c r="D478" s="57"/>
      <c r="E478" s="57"/>
      <c r="F478" s="57"/>
      <c r="G478" s="57"/>
      <c r="H478" s="57"/>
      <c r="I478" s="57"/>
      <c r="J478" s="57"/>
      <c r="K478" s="63"/>
      <c r="L478" s="57"/>
      <c r="M478" s="57"/>
      <c r="N478" s="57"/>
      <c r="O478" s="57"/>
      <c r="P478" s="57"/>
      <c r="Q478" s="57"/>
    </row>
    <row r="479">
      <c r="A479" s="60" t="s">
        <v>441</v>
      </c>
      <c r="B479" s="60">
        <v>6.0</v>
      </c>
      <c r="C479" s="57"/>
      <c r="D479" s="57"/>
      <c r="E479" s="57"/>
      <c r="F479" s="57"/>
      <c r="G479" s="57"/>
      <c r="H479" s="57"/>
      <c r="I479" s="57"/>
      <c r="J479" s="57"/>
      <c r="K479" s="63"/>
      <c r="L479" s="57"/>
      <c r="M479" s="57"/>
      <c r="N479" s="57"/>
      <c r="O479" s="57"/>
      <c r="P479" s="57"/>
      <c r="Q479" s="57"/>
    </row>
    <row r="480">
      <c r="A480" s="60" t="s">
        <v>510</v>
      </c>
      <c r="B480" s="60">
        <v>2.0</v>
      </c>
      <c r="C480" s="57"/>
      <c r="D480" s="57"/>
      <c r="E480" s="57"/>
      <c r="F480" s="57"/>
      <c r="G480" s="57"/>
      <c r="H480" s="57"/>
      <c r="I480" s="57"/>
      <c r="J480" s="57"/>
      <c r="K480" s="63"/>
      <c r="L480" s="57"/>
      <c r="M480" s="57"/>
      <c r="N480" s="57"/>
      <c r="O480" s="57"/>
      <c r="P480" s="57"/>
      <c r="Q480" s="57"/>
    </row>
    <row r="481">
      <c r="A481" s="60" t="s">
        <v>511</v>
      </c>
      <c r="B481" s="60" t="s">
        <v>146</v>
      </c>
      <c r="C481" s="57"/>
      <c r="D481" s="57"/>
      <c r="E481" s="57"/>
      <c r="F481" s="57"/>
      <c r="G481" s="57"/>
      <c r="H481" s="57"/>
      <c r="I481" s="57"/>
      <c r="J481" s="57"/>
      <c r="K481" s="63"/>
      <c r="L481" s="57"/>
      <c r="M481" s="57"/>
      <c r="N481" s="57"/>
      <c r="O481" s="57"/>
      <c r="P481" s="57"/>
      <c r="Q481" s="57"/>
    </row>
    <row r="482">
      <c r="A482" s="60" t="s">
        <v>555</v>
      </c>
      <c r="B482" s="60" t="s">
        <v>502</v>
      </c>
      <c r="C482" s="57"/>
      <c r="D482" s="57"/>
      <c r="E482" s="57"/>
      <c r="F482" s="57"/>
      <c r="G482" s="57"/>
      <c r="H482" s="57"/>
      <c r="I482" s="57"/>
      <c r="J482" s="57"/>
      <c r="K482" s="63"/>
      <c r="L482" s="57"/>
      <c r="M482" s="57"/>
      <c r="N482" s="57"/>
      <c r="O482" s="57"/>
      <c r="P482" s="57"/>
      <c r="Q482" s="57"/>
    </row>
    <row r="483">
      <c r="A483" s="60" t="s">
        <v>556</v>
      </c>
      <c r="B483" s="60" t="s">
        <v>430</v>
      </c>
      <c r="C483" s="57"/>
      <c r="D483" s="57"/>
      <c r="E483" s="57"/>
      <c r="F483" s="57"/>
      <c r="G483" s="57"/>
      <c r="H483" s="57"/>
      <c r="I483" s="57"/>
      <c r="J483" s="57"/>
      <c r="K483" s="63"/>
      <c r="L483" s="57"/>
      <c r="M483" s="57"/>
      <c r="N483" s="57"/>
      <c r="O483" s="57"/>
      <c r="P483" s="57"/>
      <c r="Q483" s="57"/>
    </row>
    <row r="484">
      <c r="A484" s="60" t="s">
        <v>488</v>
      </c>
      <c r="B484" s="60" t="s">
        <v>436</v>
      </c>
      <c r="C484" s="57"/>
      <c r="D484" s="57"/>
      <c r="E484" s="57"/>
      <c r="F484" s="57"/>
      <c r="G484" s="57"/>
      <c r="H484" s="57"/>
      <c r="I484" s="57"/>
      <c r="J484" s="57"/>
      <c r="K484" s="63"/>
      <c r="L484" s="57"/>
      <c r="M484" s="57"/>
      <c r="N484" s="57"/>
      <c r="O484" s="57"/>
      <c r="P484" s="57"/>
      <c r="Q484" s="57"/>
    </row>
    <row r="485">
      <c r="A485" s="60" t="s">
        <v>495</v>
      </c>
      <c r="B485" s="60" t="s">
        <v>482</v>
      </c>
      <c r="C485" s="57"/>
      <c r="D485" s="57"/>
      <c r="E485" s="57"/>
      <c r="F485" s="57"/>
      <c r="G485" s="57"/>
      <c r="H485" s="57"/>
      <c r="I485" s="57"/>
      <c r="J485" s="57"/>
      <c r="K485" s="63"/>
      <c r="L485" s="57"/>
      <c r="M485" s="57"/>
      <c r="N485" s="57"/>
      <c r="O485" s="57"/>
      <c r="P485" s="57"/>
      <c r="Q485" s="57"/>
    </row>
    <row r="486">
      <c r="A486" s="60" t="s">
        <v>557</v>
      </c>
      <c r="B486" s="60" t="s">
        <v>433</v>
      </c>
      <c r="C486" s="57"/>
      <c r="D486" s="57"/>
      <c r="E486" s="57"/>
      <c r="F486" s="57"/>
      <c r="G486" s="57"/>
      <c r="H486" s="57"/>
      <c r="I486" s="57"/>
      <c r="J486" s="57"/>
      <c r="K486" s="63"/>
      <c r="L486" s="57"/>
      <c r="M486" s="57"/>
      <c r="N486" s="57"/>
      <c r="O486" s="57"/>
      <c r="P486" s="57"/>
      <c r="Q486" s="57"/>
    </row>
    <row r="487">
      <c r="A487" s="76" t="s">
        <v>145</v>
      </c>
      <c r="B487" s="60" t="s">
        <v>480</v>
      </c>
      <c r="C487" s="57"/>
      <c r="D487" s="57"/>
      <c r="E487" s="57"/>
      <c r="F487" s="57"/>
      <c r="G487" s="57"/>
      <c r="H487" s="57"/>
      <c r="I487" s="57"/>
      <c r="J487" s="57"/>
      <c r="K487" s="63"/>
      <c r="L487" s="57"/>
      <c r="M487" s="57"/>
      <c r="N487" s="57"/>
      <c r="O487" s="57"/>
      <c r="P487" s="57"/>
      <c r="Q487" s="57"/>
    </row>
    <row r="488">
      <c r="A488" s="60" t="s">
        <v>24</v>
      </c>
      <c r="B488" s="60"/>
      <c r="C488" s="57"/>
      <c r="D488" s="57"/>
      <c r="E488" s="57"/>
      <c r="F488" s="57"/>
      <c r="G488" s="57"/>
      <c r="H488" s="65">
        <v>151.0</v>
      </c>
      <c r="I488" s="57">
        <f>ROUNDDOWN(H488*1.1,0)</f>
        <v>166</v>
      </c>
      <c r="J488" s="57">
        <f>ROUNDDOWN(H488*1.21,0)</f>
        <v>182</v>
      </c>
      <c r="K488" s="63">
        <f>ROUNDDOWN(H488*1.33,0)</f>
        <v>200</v>
      </c>
      <c r="L488" s="57">
        <f>ROUNDDOWN(H488*1.46,0)</f>
        <v>220</v>
      </c>
      <c r="M488" s="57">
        <f>ROUNDDOWN(H488*1.6,0)</f>
        <v>241</v>
      </c>
      <c r="N488" s="57">
        <f>ROUNDDOWN(H488*1.76,0)</f>
        <v>265</v>
      </c>
      <c r="O488" s="57">
        <f>ROUNDDOWN(H488*1.93,0)</f>
        <v>291</v>
      </c>
      <c r="P488" s="57">
        <f>ROUNDDOWN(H488*2.12,0)</f>
        <v>320</v>
      </c>
      <c r="Q488" s="57"/>
    </row>
    <row r="489">
      <c r="A489" s="60" t="s">
        <v>503</v>
      </c>
      <c r="B489" s="60"/>
      <c r="C489" s="57"/>
      <c r="D489" s="57"/>
      <c r="E489" s="57"/>
      <c r="F489" s="57"/>
      <c r="G489" s="57"/>
      <c r="H489" s="65">
        <f t="shared" ref="H489:P489" si="249">H$3</f>
        <v>6</v>
      </c>
      <c r="I489" s="65">
        <f t="shared" si="249"/>
        <v>7</v>
      </c>
      <c r="J489" s="65">
        <f t="shared" si="249"/>
        <v>8</v>
      </c>
      <c r="K489" s="66">
        <f t="shared" si="249"/>
        <v>9</v>
      </c>
      <c r="L489" s="65">
        <f t="shared" si="249"/>
        <v>10</v>
      </c>
      <c r="M489" s="65">
        <f t="shared" si="249"/>
        <v>11</v>
      </c>
      <c r="N489" s="65">
        <f t="shared" si="249"/>
        <v>12</v>
      </c>
      <c r="O489" s="65">
        <f t="shared" si="249"/>
        <v>13</v>
      </c>
      <c r="P489" s="65">
        <f t="shared" si="249"/>
        <v>14</v>
      </c>
      <c r="Q489" s="57"/>
    </row>
    <row r="490">
      <c r="A490" s="60" t="s">
        <v>558</v>
      </c>
      <c r="B490" s="60" t="s">
        <v>559</v>
      </c>
      <c r="C490" s="57"/>
      <c r="D490" s="57"/>
      <c r="E490" s="57"/>
      <c r="F490" s="57"/>
      <c r="G490" s="57"/>
      <c r="H490" s="57"/>
      <c r="I490" s="57"/>
      <c r="J490" s="57"/>
      <c r="K490" s="63"/>
      <c r="L490" s="57"/>
      <c r="M490" s="57"/>
      <c r="N490" s="57"/>
      <c r="O490" s="57"/>
      <c r="P490" s="57"/>
      <c r="Q490" s="57"/>
    </row>
    <row r="491">
      <c r="A491" s="60" t="s">
        <v>560</v>
      </c>
      <c r="B491" s="60" t="s">
        <v>561</v>
      </c>
      <c r="C491" s="57"/>
      <c r="D491" s="57"/>
      <c r="E491" s="57"/>
      <c r="F491" s="57"/>
      <c r="G491" s="57"/>
      <c r="H491" s="57"/>
      <c r="I491" s="57"/>
      <c r="J491" s="57"/>
      <c r="K491" s="63"/>
      <c r="L491" s="57"/>
      <c r="M491" s="57"/>
      <c r="N491" s="57"/>
      <c r="O491" s="57"/>
      <c r="P491" s="57"/>
      <c r="Q491" s="57"/>
    </row>
    <row r="492">
      <c r="A492" s="60" t="s">
        <v>562</v>
      </c>
      <c r="B492" s="60" t="s">
        <v>498</v>
      </c>
      <c r="C492" s="57"/>
      <c r="D492" s="57"/>
      <c r="E492" s="57"/>
      <c r="F492" s="57"/>
      <c r="G492" s="57"/>
      <c r="H492" s="57"/>
      <c r="I492" s="57"/>
      <c r="J492" s="57"/>
      <c r="K492" s="63"/>
      <c r="L492" s="57"/>
      <c r="M492" s="57"/>
      <c r="N492" s="57"/>
      <c r="O492" s="57"/>
      <c r="P492" s="57"/>
      <c r="Q492" s="57"/>
    </row>
    <row r="493">
      <c r="A493" s="60" t="s">
        <v>422</v>
      </c>
      <c r="B493" s="60" t="s">
        <v>563</v>
      </c>
      <c r="C493" s="57"/>
      <c r="D493" s="57"/>
      <c r="E493" s="57"/>
      <c r="F493" s="57"/>
      <c r="G493" s="57"/>
      <c r="H493" s="57"/>
      <c r="I493" s="57"/>
      <c r="J493" s="57"/>
      <c r="K493" s="63"/>
      <c r="L493" s="57"/>
      <c r="M493" s="57"/>
      <c r="N493" s="57"/>
      <c r="O493" s="57"/>
      <c r="P493" s="57"/>
      <c r="Q493" s="57"/>
    </row>
    <row r="494">
      <c r="A494" s="60" t="s">
        <v>460</v>
      </c>
      <c r="B494" s="60" t="s">
        <v>564</v>
      </c>
      <c r="C494" s="57"/>
      <c r="D494" s="57"/>
      <c r="E494" s="57"/>
      <c r="F494" s="57"/>
      <c r="G494" s="57"/>
      <c r="H494" s="57"/>
      <c r="I494" s="57"/>
      <c r="J494" s="57"/>
      <c r="K494" s="63"/>
      <c r="L494" s="57"/>
      <c r="M494" s="57"/>
      <c r="N494" s="57"/>
      <c r="O494" s="57"/>
      <c r="P494" s="57"/>
      <c r="Q494" s="57"/>
    </row>
    <row r="495">
      <c r="A495" s="60" t="s">
        <v>50</v>
      </c>
      <c r="B495" s="60" t="s">
        <v>425</v>
      </c>
      <c r="C495" s="57"/>
      <c r="D495" s="57"/>
      <c r="E495" s="57"/>
      <c r="F495" s="57"/>
      <c r="G495" s="57"/>
      <c r="H495" s="57"/>
      <c r="I495" s="57"/>
      <c r="J495" s="57"/>
      <c r="K495" s="63"/>
      <c r="L495" s="57"/>
      <c r="M495" s="57"/>
      <c r="N495" s="57"/>
      <c r="O495" s="57"/>
      <c r="P495" s="57"/>
      <c r="Q495" s="57"/>
    </row>
    <row r="496">
      <c r="A496" s="60" t="s">
        <v>519</v>
      </c>
      <c r="B496" s="60" t="s">
        <v>433</v>
      </c>
      <c r="C496" s="57"/>
      <c r="D496" s="57"/>
      <c r="E496" s="57"/>
      <c r="F496" s="57"/>
      <c r="G496" s="57"/>
      <c r="H496" s="57"/>
      <c r="I496" s="57"/>
      <c r="J496" s="57"/>
      <c r="K496" s="63"/>
      <c r="L496" s="57"/>
      <c r="M496" s="57"/>
      <c r="N496" s="57"/>
      <c r="O496" s="57"/>
      <c r="P496" s="57"/>
      <c r="Q496" s="57"/>
    </row>
    <row r="497">
      <c r="A497" s="60" t="s">
        <v>508</v>
      </c>
      <c r="B497" s="60" t="s">
        <v>146</v>
      </c>
      <c r="C497" s="57"/>
      <c r="D497" s="57"/>
      <c r="E497" s="57"/>
      <c r="F497" s="57"/>
      <c r="G497" s="57"/>
      <c r="H497" s="57"/>
      <c r="I497" s="57"/>
      <c r="J497" s="57"/>
      <c r="K497" s="63"/>
      <c r="L497" s="57"/>
      <c r="M497" s="57"/>
      <c r="N497" s="57"/>
      <c r="O497" s="57"/>
      <c r="P497" s="57"/>
      <c r="Q497" s="57"/>
    </row>
    <row r="498">
      <c r="A498" s="60" t="s">
        <v>565</v>
      </c>
      <c r="B498" s="60" t="s">
        <v>566</v>
      </c>
      <c r="C498" s="57"/>
      <c r="D498" s="57"/>
      <c r="E498" s="57"/>
      <c r="F498" s="57"/>
      <c r="G498" s="57"/>
      <c r="H498" s="57"/>
      <c r="I498" s="57"/>
      <c r="J498" s="57"/>
      <c r="K498" s="63"/>
      <c r="L498" s="57"/>
      <c r="M498" s="57"/>
      <c r="N498" s="57"/>
      <c r="O498" s="57"/>
      <c r="P498" s="57"/>
      <c r="Q498" s="57"/>
    </row>
    <row r="499">
      <c r="A499" s="60" t="s">
        <v>567</v>
      </c>
      <c r="B499" s="60" t="s">
        <v>502</v>
      </c>
      <c r="C499" s="57"/>
      <c r="D499" s="57"/>
      <c r="E499" s="57"/>
      <c r="F499" s="57"/>
      <c r="G499" s="57"/>
      <c r="H499" s="57"/>
      <c r="I499" s="57"/>
      <c r="J499" s="57"/>
      <c r="K499" s="63"/>
      <c r="L499" s="57"/>
      <c r="M499" s="57"/>
      <c r="N499" s="57"/>
      <c r="O499" s="57"/>
      <c r="P499" s="57"/>
      <c r="Q499" s="57"/>
    </row>
    <row r="500">
      <c r="A500" s="60" t="s">
        <v>568</v>
      </c>
      <c r="B500" s="60" t="s">
        <v>456</v>
      </c>
      <c r="C500" s="57"/>
      <c r="D500" s="57"/>
      <c r="E500" s="57"/>
      <c r="F500" s="57"/>
      <c r="G500" s="57"/>
      <c r="H500" s="57"/>
      <c r="I500" s="57"/>
      <c r="J500" s="57"/>
      <c r="K500" s="63"/>
      <c r="L500" s="57"/>
      <c r="M500" s="57"/>
      <c r="N500" s="57"/>
      <c r="O500" s="57"/>
      <c r="P500" s="57"/>
      <c r="Q500" s="57"/>
    </row>
    <row r="501">
      <c r="A501" s="60" t="s">
        <v>569</v>
      </c>
      <c r="B501" s="60" t="s">
        <v>462</v>
      </c>
      <c r="C501" s="57"/>
      <c r="D501" s="57"/>
      <c r="E501" s="57"/>
      <c r="F501" s="57"/>
      <c r="G501" s="57"/>
      <c r="H501" s="57"/>
      <c r="I501" s="57"/>
      <c r="J501" s="57"/>
      <c r="K501" s="63"/>
      <c r="L501" s="57"/>
      <c r="M501" s="57"/>
      <c r="N501" s="57"/>
      <c r="O501" s="57"/>
      <c r="P501" s="57"/>
      <c r="Q501" s="57"/>
    </row>
    <row r="502">
      <c r="A502" s="76" t="s">
        <v>274</v>
      </c>
      <c r="B502" s="60" t="s">
        <v>570</v>
      </c>
      <c r="C502" s="57"/>
      <c r="D502" s="57"/>
      <c r="E502" s="57"/>
      <c r="F502" s="57"/>
      <c r="G502" s="57"/>
      <c r="H502" s="57"/>
      <c r="I502" s="57"/>
      <c r="J502" s="57"/>
      <c r="K502" s="63"/>
      <c r="L502" s="57"/>
      <c r="M502" s="57"/>
      <c r="N502" s="57"/>
      <c r="O502" s="57"/>
      <c r="P502" s="57"/>
      <c r="Q502" s="57"/>
    </row>
    <row r="503">
      <c r="A503" s="60" t="s">
        <v>38</v>
      </c>
      <c r="B503" s="26"/>
      <c r="C503" s="57"/>
      <c r="D503" s="57"/>
      <c r="E503" s="57"/>
      <c r="F503" s="57"/>
      <c r="G503" s="57"/>
      <c r="H503" s="65">
        <v>3200.0</v>
      </c>
      <c r="I503" s="57">
        <f t="shared" ref="I503:I508" si="250">ROUNDDOWN(H503*1.1,0)</f>
        <v>3520</v>
      </c>
      <c r="J503" s="57">
        <f t="shared" ref="J503:J508" si="251">ROUNDDOWN(H503*1.21,0)</f>
        <v>3872</v>
      </c>
      <c r="K503" s="63">
        <f t="shared" ref="K503:K508" si="252">ROUNDDOWN(H503*1.33,0)</f>
        <v>4256</v>
      </c>
      <c r="L503" s="57">
        <f t="shared" ref="L503:L508" si="253">ROUNDDOWN(H503*1.46,0)</f>
        <v>4672</v>
      </c>
      <c r="M503" s="57">
        <f t="shared" ref="M503:M508" si="254">ROUNDDOWN(H503*1.6,0)</f>
        <v>5120</v>
      </c>
      <c r="N503" s="57">
        <f t="shared" ref="N503:N508" si="255">ROUNDDOWN(H503*1.76,0)</f>
        <v>5632</v>
      </c>
      <c r="O503" s="57">
        <f t="shared" ref="O503:O508" si="256">ROUNDDOWN(H503*1.93,0)</f>
        <v>6176</v>
      </c>
      <c r="P503" s="57">
        <f t="shared" ref="P503:P508" si="257">ROUNDDOWN(H503*2.12,0)</f>
        <v>6784</v>
      </c>
      <c r="Q503" s="57"/>
    </row>
    <row r="504">
      <c r="A504" s="60" t="s">
        <v>24</v>
      </c>
      <c r="B504" s="26"/>
      <c r="C504" s="57"/>
      <c r="D504" s="57"/>
      <c r="E504" s="57"/>
      <c r="F504" s="57"/>
      <c r="G504" s="57"/>
      <c r="H504" s="65">
        <v>195.0</v>
      </c>
      <c r="I504" s="57">
        <f t="shared" si="250"/>
        <v>214</v>
      </c>
      <c r="J504" s="57">
        <f t="shared" si="251"/>
        <v>235</v>
      </c>
      <c r="K504" s="63">
        <f t="shared" si="252"/>
        <v>259</v>
      </c>
      <c r="L504" s="57">
        <f t="shared" si="253"/>
        <v>284</v>
      </c>
      <c r="M504" s="57">
        <f t="shared" si="254"/>
        <v>312</v>
      </c>
      <c r="N504" s="57">
        <f t="shared" si="255"/>
        <v>343</v>
      </c>
      <c r="O504" s="57">
        <f t="shared" si="256"/>
        <v>376</v>
      </c>
      <c r="P504" s="57">
        <f t="shared" si="257"/>
        <v>413</v>
      </c>
      <c r="Q504" s="57"/>
    </row>
    <row r="505">
      <c r="A505" s="60" t="s">
        <v>30</v>
      </c>
      <c r="B505" s="60"/>
      <c r="C505" s="57"/>
      <c r="D505" s="57"/>
      <c r="E505" s="57"/>
      <c r="F505" s="57"/>
      <c r="G505" s="57"/>
      <c r="H505" s="65">
        <v>195.0</v>
      </c>
      <c r="I505" s="57">
        <f t="shared" si="250"/>
        <v>214</v>
      </c>
      <c r="J505" s="57">
        <f t="shared" si="251"/>
        <v>235</v>
      </c>
      <c r="K505" s="63">
        <f t="shared" si="252"/>
        <v>259</v>
      </c>
      <c r="L505" s="57">
        <f t="shared" si="253"/>
        <v>284</v>
      </c>
      <c r="M505" s="57">
        <f t="shared" si="254"/>
        <v>312</v>
      </c>
      <c r="N505" s="57">
        <f t="shared" si="255"/>
        <v>343</v>
      </c>
      <c r="O505" s="57">
        <f t="shared" si="256"/>
        <v>376</v>
      </c>
      <c r="P505" s="57">
        <f t="shared" si="257"/>
        <v>413</v>
      </c>
      <c r="Q505" s="57"/>
    </row>
    <row r="506">
      <c r="A506" s="60" t="s">
        <v>571</v>
      </c>
      <c r="B506" s="26"/>
      <c r="C506" s="57"/>
      <c r="D506" s="57"/>
      <c r="E506" s="57"/>
      <c r="F506" s="57"/>
      <c r="G506" s="57"/>
      <c r="H506" s="65">
        <v>650.0</v>
      </c>
      <c r="I506" s="57">
        <f t="shared" si="250"/>
        <v>715</v>
      </c>
      <c r="J506" s="57">
        <f t="shared" si="251"/>
        <v>786</v>
      </c>
      <c r="K506" s="63">
        <f t="shared" si="252"/>
        <v>864</v>
      </c>
      <c r="L506" s="57">
        <f t="shared" si="253"/>
        <v>949</v>
      </c>
      <c r="M506" s="57">
        <f t="shared" si="254"/>
        <v>1040</v>
      </c>
      <c r="N506" s="57">
        <f t="shared" si="255"/>
        <v>1144</v>
      </c>
      <c r="O506" s="57">
        <f t="shared" si="256"/>
        <v>1254</v>
      </c>
      <c r="P506" s="57">
        <f t="shared" si="257"/>
        <v>1378</v>
      </c>
      <c r="Q506" s="57"/>
    </row>
    <row r="507">
      <c r="A507" s="60" t="s">
        <v>572</v>
      </c>
      <c r="B507" s="26"/>
      <c r="C507" s="57"/>
      <c r="D507" s="57"/>
      <c r="E507" s="57"/>
      <c r="F507" s="57"/>
      <c r="G507" s="57"/>
      <c r="H507" s="65">
        <v>31.0</v>
      </c>
      <c r="I507" s="57">
        <f t="shared" si="250"/>
        <v>34</v>
      </c>
      <c r="J507" s="57">
        <f t="shared" si="251"/>
        <v>37</v>
      </c>
      <c r="K507" s="63">
        <f t="shared" si="252"/>
        <v>41</v>
      </c>
      <c r="L507" s="57">
        <f t="shared" si="253"/>
        <v>45</v>
      </c>
      <c r="M507" s="57">
        <f t="shared" si="254"/>
        <v>49</v>
      </c>
      <c r="N507" s="57">
        <f t="shared" si="255"/>
        <v>54</v>
      </c>
      <c r="O507" s="57">
        <f t="shared" si="256"/>
        <v>59</v>
      </c>
      <c r="P507" s="57">
        <f t="shared" si="257"/>
        <v>65</v>
      </c>
      <c r="Q507" s="57"/>
    </row>
    <row r="508">
      <c r="A508" s="60" t="s">
        <v>573</v>
      </c>
      <c r="B508" s="26"/>
      <c r="C508" s="57"/>
      <c r="D508" s="57"/>
      <c r="E508" s="57"/>
      <c r="F508" s="57"/>
      <c r="G508" s="57"/>
      <c r="H508" s="65">
        <v>62.0</v>
      </c>
      <c r="I508" s="57">
        <f t="shared" si="250"/>
        <v>68</v>
      </c>
      <c r="J508" s="57">
        <f t="shared" si="251"/>
        <v>75</v>
      </c>
      <c r="K508" s="63">
        <f t="shared" si="252"/>
        <v>82</v>
      </c>
      <c r="L508" s="57">
        <f t="shared" si="253"/>
        <v>90</v>
      </c>
      <c r="M508" s="57">
        <f t="shared" si="254"/>
        <v>99</v>
      </c>
      <c r="N508" s="57">
        <f t="shared" si="255"/>
        <v>109</v>
      </c>
      <c r="O508" s="57">
        <f t="shared" si="256"/>
        <v>119</v>
      </c>
      <c r="P508" s="57">
        <f t="shared" si="257"/>
        <v>131</v>
      </c>
      <c r="Q508" s="57"/>
    </row>
    <row r="509">
      <c r="A509" s="60" t="s">
        <v>428</v>
      </c>
      <c r="B509" s="60" t="s">
        <v>481</v>
      </c>
      <c r="C509" s="57"/>
      <c r="D509" s="57"/>
      <c r="E509" s="57"/>
      <c r="F509" s="57"/>
      <c r="G509" s="57"/>
      <c r="H509" s="57"/>
      <c r="I509" s="57"/>
      <c r="J509" s="57"/>
      <c r="K509" s="63"/>
      <c r="L509" s="57"/>
      <c r="M509" s="57"/>
      <c r="N509" s="57"/>
      <c r="O509" s="57"/>
      <c r="P509" s="57"/>
      <c r="Q509" s="57"/>
    </row>
    <row r="510">
      <c r="A510" s="60" t="s">
        <v>55</v>
      </c>
      <c r="B510" s="60" t="s">
        <v>541</v>
      </c>
      <c r="C510" s="57"/>
      <c r="D510" s="57"/>
      <c r="E510" s="57"/>
      <c r="F510" s="57"/>
      <c r="G510" s="57"/>
      <c r="H510" s="57"/>
      <c r="I510" s="57"/>
      <c r="J510" s="57"/>
      <c r="K510" s="63"/>
      <c r="L510" s="57"/>
      <c r="M510" s="57"/>
      <c r="N510" s="57"/>
      <c r="O510" s="57"/>
      <c r="P510" s="57"/>
      <c r="Q510" s="57"/>
    </row>
    <row r="511">
      <c r="A511" s="60" t="s">
        <v>51</v>
      </c>
      <c r="B511" s="60" t="s">
        <v>470</v>
      </c>
      <c r="C511" s="57"/>
      <c r="D511" s="57"/>
      <c r="E511" s="57"/>
      <c r="F511" s="57"/>
      <c r="G511" s="57"/>
      <c r="H511" s="57"/>
      <c r="I511" s="57"/>
      <c r="J511" s="57"/>
      <c r="K511" s="63"/>
      <c r="L511" s="57"/>
      <c r="M511" s="57"/>
      <c r="N511" s="57"/>
      <c r="O511" s="57"/>
      <c r="P511" s="57"/>
      <c r="Q511" s="57"/>
    </row>
    <row r="512">
      <c r="A512" s="60" t="s">
        <v>49</v>
      </c>
      <c r="B512" s="60" t="s">
        <v>574</v>
      </c>
      <c r="C512" s="57"/>
      <c r="D512" s="57"/>
      <c r="E512" s="57"/>
      <c r="F512" s="57"/>
      <c r="G512" s="57"/>
      <c r="H512" s="57"/>
      <c r="I512" s="57"/>
      <c r="J512" s="57"/>
      <c r="K512" s="63"/>
      <c r="L512" s="57"/>
      <c r="M512" s="57"/>
      <c r="N512" s="57"/>
      <c r="O512" s="57"/>
      <c r="P512" s="57"/>
      <c r="Q512" s="57"/>
    </row>
    <row r="513">
      <c r="A513" s="60" t="s">
        <v>432</v>
      </c>
      <c r="B513" s="60" t="s">
        <v>471</v>
      </c>
      <c r="C513" s="57"/>
      <c r="D513" s="57"/>
      <c r="E513" s="57"/>
      <c r="F513" s="57"/>
      <c r="G513" s="57"/>
      <c r="H513" s="57"/>
      <c r="I513" s="57"/>
      <c r="J513" s="57"/>
      <c r="K513" s="63"/>
      <c r="L513" s="57"/>
      <c r="M513" s="57"/>
      <c r="N513" s="57"/>
      <c r="O513" s="57"/>
      <c r="P513" s="57"/>
      <c r="Q513" s="57"/>
    </row>
    <row r="514">
      <c r="A514" s="60" t="s">
        <v>53</v>
      </c>
      <c r="B514" s="60" t="s">
        <v>473</v>
      </c>
      <c r="C514" s="65"/>
      <c r="D514" s="57"/>
      <c r="E514" s="57"/>
      <c r="F514" s="57"/>
      <c r="G514" s="57"/>
      <c r="H514" s="57"/>
      <c r="I514" s="57"/>
      <c r="J514" s="57"/>
      <c r="K514" s="63"/>
      <c r="L514" s="57"/>
      <c r="M514" s="57"/>
      <c r="N514" s="57"/>
      <c r="O514" s="57"/>
      <c r="P514" s="57"/>
      <c r="Q514" s="57"/>
    </row>
    <row r="515">
      <c r="A515" s="60" t="s">
        <v>50</v>
      </c>
      <c r="B515" s="60" t="s">
        <v>109</v>
      </c>
      <c r="C515" s="65"/>
      <c r="D515" s="57"/>
      <c r="E515" s="57"/>
      <c r="F515" s="57"/>
      <c r="G515" s="57"/>
      <c r="H515" s="57"/>
      <c r="I515" s="57"/>
      <c r="J515" s="57"/>
      <c r="K515" s="63"/>
      <c r="L515" s="57"/>
      <c r="M515" s="57"/>
      <c r="N515" s="57"/>
      <c r="O515" s="57"/>
      <c r="P515" s="57"/>
      <c r="Q515" s="57"/>
    </row>
    <row r="516">
      <c r="A516" s="60" t="s">
        <v>543</v>
      </c>
      <c r="B516" s="60" t="s">
        <v>478</v>
      </c>
      <c r="C516" s="65"/>
      <c r="D516" s="57"/>
      <c r="E516" s="57"/>
      <c r="F516" s="57"/>
      <c r="G516" s="57"/>
      <c r="H516" s="57"/>
      <c r="I516" s="57"/>
      <c r="J516" s="57"/>
      <c r="K516" s="63"/>
      <c r="L516" s="57"/>
      <c r="M516" s="57"/>
      <c r="N516" s="57"/>
      <c r="O516" s="57"/>
      <c r="P516" s="57"/>
      <c r="Q516" s="57"/>
    </row>
    <row r="517">
      <c r="A517" s="60" t="s">
        <v>542</v>
      </c>
      <c r="B517" s="60" t="s">
        <v>425</v>
      </c>
      <c r="C517" s="65"/>
      <c r="D517" s="57"/>
      <c r="E517" s="57"/>
      <c r="F517" s="57"/>
      <c r="G517" s="57"/>
      <c r="H517" s="57"/>
      <c r="I517" s="57"/>
      <c r="J517" s="57"/>
      <c r="K517" s="63"/>
      <c r="L517" s="57"/>
      <c r="M517" s="57"/>
      <c r="N517" s="57"/>
      <c r="O517" s="57"/>
      <c r="P517" s="57"/>
      <c r="Q517" s="57"/>
    </row>
    <row r="518">
      <c r="A518" s="60" t="s">
        <v>575</v>
      </c>
      <c r="B518" s="60" t="s">
        <v>461</v>
      </c>
      <c r="C518" s="65"/>
      <c r="D518" s="57"/>
      <c r="E518" s="57"/>
      <c r="F518" s="57"/>
      <c r="G518" s="57"/>
      <c r="H518" s="57"/>
      <c r="I518" s="57"/>
      <c r="J518" s="57"/>
      <c r="K518" s="63"/>
      <c r="L518" s="57"/>
      <c r="M518" s="57"/>
      <c r="N518" s="57"/>
      <c r="O518" s="57"/>
      <c r="P518" s="57"/>
      <c r="Q518" s="57"/>
    </row>
    <row r="519">
      <c r="A519" s="60" t="s">
        <v>438</v>
      </c>
      <c r="B519" s="60" t="s">
        <v>472</v>
      </c>
      <c r="C519" s="65"/>
      <c r="D519" s="57"/>
      <c r="E519" s="57"/>
      <c r="F519" s="57"/>
      <c r="G519" s="57"/>
      <c r="H519" s="57"/>
      <c r="I519" s="57"/>
      <c r="J519" s="57"/>
      <c r="K519" s="63"/>
      <c r="L519" s="57"/>
      <c r="M519" s="57"/>
      <c r="N519" s="57"/>
      <c r="O519" s="57"/>
      <c r="P519" s="57"/>
      <c r="Q519" s="57"/>
    </row>
    <row r="520">
      <c r="A520" s="60" t="s">
        <v>439</v>
      </c>
      <c r="B520" s="60" t="s">
        <v>473</v>
      </c>
      <c r="C520" s="65"/>
      <c r="D520" s="57"/>
      <c r="E520" s="57"/>
      <c r="F520" s="57"/>
      <c r="G520" s="57"/>
      <c r="H520" s="57"/>
      <c r="I520" s="57"/>
      <c r="J520" s="57"/>
      <c r="K520" s="63"/>
      <c r="L520" s="57"/>
      <c r="M520" s="57"/>
      <c r="N520" s="57"/>
      <c r="O520" s="57"/>
      <c r="P520" s="57"/>
      <c r="Q520" s="57"/>
    </row>
    <row r="521">
      <c r="A521" s="60" t="s">
        <v>441</v>
      </c>
      <c r="B521" s="60">
        <v>20.0</v>
      </c>
      <c r="C521" s="65"/>
      <c r="D521" s="57"/>
      <c r="E521" s="57"/>
      <c r="F521" s="57"/>
      <c r="G521" s="57"/>
      <c r="H521" s="57"/>
      <c r="I521" s="57"/>
      <c r="J521" s="57"/>
      <c r="K521" s="63"/>
      <c r="L521" s="57"/>
      <c r="M521" s="57"/>
      <c r="N521" s="57"/>
      <c r="O521" s="57"/>
      <c r="P521" s="57"/>
      <c r="Q521" s="57"/>
    </row>
    <row r="522">
      <c r="A522" s="60" t="s">
        <v>510</v>
      </c>
      <c r="B522" s="60">
        <v>2.0</v>
      </c>
      <c r="C522" s="65"/>
      <c r="D522" s="57"/>
      <c r="E522" s="57"/>
      <c r="F522" s="57"/>
      <c r="G522" s="57"/>
      <c r="H522" s="57"/>
      <c r="I522" s="57"/>
      <c r="J522" s="57"/>
      <c r="K522" s="63"/>
      <c r="L522" s="57"/>
      <c r="M522" s="57"/>
      <c r="N522" s="57"/>
      <c r="O522" s="57"/>
      <c r="P522" s="57"/>
      <c r="Q522" s="57"/>
    </row>
    <row r="523">
      <c r="A523" s="60" t="s">
        <v>511</v>
      </c>
      <c r="B523" s="60" t="s">
        <v>408</v>
      </c>
      <c r="C523" s="65"/>
      <c r="D523" s="57"/>
      <c r="E523" s="57"/>
      <c r="F523" s="57"/>
      <c r="G523" s="57"/>
      <c r="H523" s="57"/>
      <c r="I523" s="57"/>
      <c r="J523" s="57"/>
      <c r="K523" s="63"/>
      <c r="L523" s="57"/>
      <c r="M523" s="57"/>
      <c r="N523" s="57"/>
      <c r="O523" s="57"/>
      <c r="P523" s="57"/>
      <c r="Q523" s="57"/>
    </row>
    <row r="524">
      <c r="A524" s="60" t="s">
        <v>555</v>
      </c>
      <c r="B524" s="60" t="s">
        <v>443</v>
      </c>
      <c r="C524" s="65"/>
      <c r="D524" s="57"/>
      <c r="E524" s="57"/>
      <c r="F524" s="57"/>
      <c r="G524" s="57"/>
      <c r="H524" s="57"/>
      <c r="I524" s="57"/>
      <c r="J524" s="57"/>
      <c r="K524" s="63"/>
      <c r="L524" s="57"/>
      <c r="M524" s="57"/>
      <c r="N524" s="57"/>
      <c r="O524" s="57"/>
      <c r="P524" s="57"/>
      <c r="Q524" s="57"/>
    </row>
    <row r="525">
      <c r="A525" s="60" t="s">
        <v>576</v>
      </c>
      <c r="B525" s="60" t="s">
        <v>436</v>
      </c>
      <c r="C525" s="65"/>
      <c r="D525" s="57"/>
      <c r="E525" s="57"/>
      <c r="F525" s="57"/>
      <c r="G525" s="57"/>
      <c r="H525" s="57"/>
      <c r="I525" s="57"/>
      <c r="J525" s="57"/>
      <c r="K525" s="63"/>
      <c r="L525" s="57"/>
      <c r="M525" s="57"/>
      <c r="N525" s="57"/>
      <c r="O525" s="57"/>
      <c r="P525" s="57"/>
      <c r="Q525" s="57"/>
    </row>
    <row r="526">
      <c r="A526" s="80" t="s">
        <v>444</v>
      </c>
      <c r="B526" s="81" t="s">
        <v>445</v>
      </c>
      <c r="C526" s="65"/>
      <c r="D526" s="57"/>
      <c r="E526" s="57"/>
      <c r="F526" s="57"/>
      <c r="G526" s="57"/>
      <c r="H526" s="57"/>
      <c r="I526" s="57"/>
      <c r="J526" s="57"/>
      <c r="K526" s="63"/>
      <c r="L526" s="57"/>
      <c r="M526" s="57"/>
      <c r="N526" s="57"/>
      <c r="O526" s="57"/>
      <c r="P526" s="57"/>
      <c r="Q526" s="57"/>
    </row>
    <row r="527">
      <c r="A527" s="80" t="s">
        <v>446</v>
      </c>
      <c r="B527" s="81" t="s">
        <v>445</v>
      </c>
      <c r="C527" s="65"/>
      <c r="D527" s="57"/>
      <c r="E527" s="57"/>
      <c r="F527" s="57"/>
      <c r="G527" s="57"/>
      <c r="H527" s="57"/>
      <c r="I527" s="57"/>
      <c r="J527" s="57"/>
      <c r="K527" s="63"/>
      <c r="L527" s="57"/>
      <c r="M527" s="57"/>
      <c r="N527" s="57"/>
      <c r="O527" s="57"/>
      <c r="P527" s="57"/>
      <c r="Q527" s="57"/>
    </row>
    <row r="528">
      <c r="A528" s="60" t="s">
        <v>474</v>
      </c>
      <c r="B528" s="60" t="s">
        <v>430</v>
      </c>
      <c r="C528" s="65"/>
      <c r="D528" s="57"/>
      <c r="E528" s="57"/>
      <c r="F528" s="57"/>
      <c r="G528" s="57"/>
      <c r="H528" s="57"/>
      <c r="I528" s="57"/>
      <c r="J528" s="57"/>
      <c r="K528" s="63"/>
      <c r="L528" s="57"/>
      <c r="M528" s="57"/>
      <c r="N528" s="57"/>
      <c r="O528" s="57"/>
      <c r="P528" s="57"/>
      <c r="Q528" s="57"/>
    </row>
    <row r="529">
      <c r="A529" s="60" t="s">
        <v>476</v>
      </c>
      <c r="B529" s="60" t="s">
        <v>421</v>
      </c>
      <c r="C529" s="65"/>
      <c r="D529" s="57"/>
      <c r="E529" s="57"/>
      <c r="F529" s="57"/>
      <c r="G529" s="57"/>
      <c r="H529" s="57"/>
      <c r="I529" s="57"/>
      <c r="J529" s="57"/>
      <c r="K529" s="63"/>
      <c r="L529" s="57"/>
      <c r="M529" s="57"/>
      <c r="N529" s="57"/>
      <c r="O529" s="57"/>
      <c r="P529" s="57"/>
      <c r="Q529" s="57"/>
    </row>
    <row r="530">
      <c r="A530" s="60" t="s">
        <v>477</v>
      </c>
      <c r="B530" s="60" t="s">
        <v>478</v>
      </c>
      <c r="C530" s="65"/>
      <c r="D530" s="57"/>
      <c r="E530" s="57"/>
      <c r="F530" s="57"/>
      <c r="G530" s="57"/>
      <c r="H530" s="57"/>
      <c r="I530" s="57"/>
      <c r="J530" s="57"/>
      <c r="K530" s="63"/>
      <c r="L530" s="57"/>
      <c r="M530" s="57"/>
      <c r="N530" s="57"/>
      <c r="O530" s="57"/>
      <c r="P530" s="57"/>
      <c r="Q530" s="57"/>
    </row>
    <row r="531">
      <c r="A531" s="60" t="s">
        <v>479</v>
      </c>
      <c r="B531" s="60" t="s">
        <v>478</v>
      </c>
      <c r="C531" s="65"/>
      <c r="D531" s="57"/>
      <c r="E531" s="57"/>
      <c r="F531" s="57"/>
      <c r="G531" s="57"/>
      <c r="H531" s="57"/>
      <c r="I531" s="57"/>
      <c r="J531" s="57"/>
      <c r="K531" s="63"/>
      <c r="L531" s="57"/>
      <c r="M531" s="57"/>
      <c r="N531" s="57"/>
      <c r="O531" s="57"/>
      <c r="P531" s="57"/>
      <c r="Q531" s="57"/>
    </row>
    <row r="532">
      <c r="A532" s="60" t="s">
        <v>577</v>
      </c>
      <c r="B532" s="60" t="s">
        <v>481</v>
      </c>
      <c r="C532" s="57"/>
      <c r="D532" s="57"/>
      <c r="E532" s="57"/>
      <c r="F532" s="57"/>
      <c r="G532" s="57"/>
      <c r="H532" s="57"/>
      <c r="I532" s="57"/>
      <c r="J532" s="57"/>
      <c r="K532" s="63"/>
      <c r="L532" s="57"/>
      <c r="M532" s="57"/>
      <c r="N532" s="57"/>
      <c r="O532" s="57"/>
      <c r="P532" s="57"/>
      <c r="Q532" s="57"/>
    </row>
    <row r="533">
      <c r="A533" s="60" t="s">
        <v>578</v>
      </c>
      <c r="B533" s="60" t="s">
        <v>430</v>
      </c>
      <c r="C533" s="57"/>
      <c r="D533" s="57"/>
      <c r="E533" s="57"/>
      <c r="F533" s="57"/>
      <c r="G533" s="57"/>
      <c r="H533" s="57"/>
      <c r="I533" s="57"/>
      <c r="J533" s="57"/>
      <c r="K533" s="63"/>
      <c r="L533" s="57"/>
      <c r="M533" s="57"/>
      <c r="N533" s="57"/>
      <c r="O533" s="57"/>
      <c r="P533" s="57"/>
      <c r="Q533" s="57"/>
    </row>
    <row r="534">
      <c r="A534" s="60" t="s">
        <v>579</v>
      </c>
      <c r="B534" s="60" t="s">
        <v>470</v>
      </c>
      <c r="C534" s="57"/>
      <c r="D534" s="57"/>
      <c r="E534" s="57"/>
      <c r="F534" s="57"/>
      <c r="G534" s="57"/>
      <c r="H534" s="57"/>
      <c r="I534" s="57"/>
      <c r="J534" s="57"/>
      <c r="K534" s="63"/>
      <c r="L534" s="57"/>
      <c r="M534" s="57"/>
      <c r="N534" s="57"/>
      <c r="O534" s="57"/>
      <c r="P534" s="57"/>
      <c r="Q534" s="57"/>
    </row>
    <row r="535">
      <c r="A535" s="60" t="s">
        <v>580</v>
      </c>
      <c r="B535" s="60" t="s">
        <v>574</v>
      </c>
      <c r="C535" s="57"/>
      <c r="D535" s="57"/>
      <c r="E535" s="57"/>
      <c r="F535" s="57"/>
      <c r="G535" s="57"/>
      <c r="H535" s="57"/>
      <c r="I535" s="57"/>
      <c r="J535" s="57"/>
      <c r="K535" s="63"/>
      <c r="L535" s="57"/>
      <c r="M535" s="57"/>
      <c r="N535" s="57"/>
      <c r="O535" s="57"/>
      <c r="P535" s="57"/>
      <c r="Q535" s="57"/>
    </row>
    <row r="536">
      <c r="A536" s="60" t="s">
        <v>581</v>
      </c>
      <c r="B536" s="60" t="s">
        <v>471</v>
      </c>
      <c r="C536" s="57"/>
      <c r="D536" s="57"/>
      <c r="E536" s="57"/>
      <c r="F536" s="57"/>
      <c r="G536" s="57"/>
      <c r="H536" s="57"/>
      <c r="I536" s="57"/>
      <c r="J536" s="57"/>
      <c r="K536" s="63"/>
      <c r="L536" s="57"/>
      <c r="M536" s="57"/>
      <c r="N536" s="57"/>
      <c r="O536" s="57"/>
      <c r="P536" s="57"/>
      <c r="Q536" s="57"/>
    </row>
    <row r="537">
      <c r="A537" s="60" t="s">
        <v>582</v>
      </c>
      <c r="B537" s="60" t="s">
        <v>583</v>
      </c>
      <c r="C537" s="65"/>
      <c r="D537" s="57"/>
      <c r="E537" s="57"/>
      <c r="F537" s="57"/>
      <c r="G537" s="57"/>
      <c r="H537" s="57"/>
      <c r="I537" s="57"/>
      <c r="J537" s="57"/>
      <c r="K537" s="63"/>
      <c r="L537" s="57"/>
      <c r="M537" s="57"/>
      <c r="N537" s="57"/>
      <c r="O537" s="57"/>
      <c r="P537" s="57"/>
      <c r="Q537" s="57"/>
    </row>
    <row r="538">
      <c r="A538" s="60" t="s">
        <v>584</v>
      </c>
      <c r="B538" s="60" t="s">
        <v>109</v>
      </c>
      <c r="C538" s="65"/>
      <c r="D538" s="57"/>
      <c r="E538" s="57"/>
      <c r="F538" s="57"/>
      <c r="G538" s="57"/>
      <c r="H538" s="57"/>
      <c r="I538" s="57"/>
      <c r="J538" s="57"/>
      <c r="K538" s="63"/>
      <c r="L538" s="57"/>
      <c r="M538" s="57"/>
      <c r="N538" s="57"/>
      <c r="O538" s="57"/>
      <c r="P538" s="57"/>
      <c r="Q538" s="57"/>
    </row>
    <row r="539">
      <c r="A539" s="60" t="s">
        <v>585</v>
      </c>
      <c r="B539" s="60" t="s">
        <v>478</v>
      </c>
      <c r="C539" s="65"/>
      <c r="D539" s="57"/>
      <c r="E539" s="57"/>
      <c r="F539" s="57"/>
      <c r="G539" s="57"/>
      <c r="H539" s="57"/>
      <c r="I539" s="57"/>
      <c r="J539" s="57"/>
      <c r="K539" s="63"/>
      <c r="L539" s="57"/>
      <c r="M539" s="57"/>
      <c r="N539" s="57"/>
      <c r="O539" s="57"/>
      <c r="P539" s="57"/>
      <c r="Q539" s="57"/>
    </row>
    <row r="540">
      <c r="A540" s="60" t="s">
        <v>586</v>
      </c>
      <c r="B540" s="60" t="s">
        <v>425</v>
      </c>
      <c r="C540" s="65"/>
      <c r="D540" s="57"/>
      <c r="E540" s="57"/>
      <c r="F540" s="57"/>
      <c r="G540" s="57"/>
      <c r="H540" s="57"/>
      <c r="I540" s="57"/>
      <c r="J540" s="57"/>
      <c r="K540" s="63"/>
      <c r="L540" s="57"/>
      <c r="M540" s="57"/>
      <c r="N540" s="57"/>
      <c r="O540" s="57"/>
      <c r="P540" s="57"/>
      <c r="Q540" s="57"/>
    </row>
    <row r="541">
      <c r="A541" s="60" t="s">
        <v>587</v>
      </c>
      <c r="B541" s="60" t="s">
        <v>588</v>
      </c>
      <c r="C541" s="65"/>
      <c r="D541" s="57"/>
      <c r="E541" s="57"/>
      <c r="F541" s="57"/>
      <c r="G541" s="57"/>
      <c r="H541" s="57"/>
      <c r="I541" s="57"/>
      <c r="J541" s="57"/>
      <c r="K541" s="63"/>
      <c r="L541" s="57"/>
      <c r="M541" s="57"/>
      <c r="N541" s="57"/>
      <c r="O541" s="57"/>
      <c r="P541" s="57"/>
      <c r="Q541" s="57"/>
    </row>
    <row r="542">
      <c r="A542" s="60" t="s">
        <v>589</v>
      </c>
      <c r="B542" s="60" t="s">
        <v>436</v>
      </c>
      <c r="C542" s="65"/>
      <c r="D542" s="57"/>
      <c r="E542" s="57"/>
      <c r="F542" s="57"/>
      <c r="G542" s="57"/>
      <c r="H542" s="57"/>
      <c r="I542" s="57"/>
      <c r="J542" s="57"/>
      <c r="K542" s="63"/>
      <c r="L542" s="57"/>
      <c r="M542" s="57"/>
      <c r="N542" s="57"/>
      <c r="O542" s="57"/>
      <c r="P542" s="57"/>
      <c r="Q542" s="57"/>
    </row>
    <row r="543">
      <c r="A543" s="60" t="s">
        <v>590</v>
      </c>
      <c r="B543" s="60" t="s">
        <v>440</v>
      </c>
      <c r="C543" s="65"/>
      <c r="D543" s="57"/>
      <c r="E543" s="57"/>
      <c r="F543" s="57"/>
      <c r="G543" s="57"/>
      <c r="H543" s="57"/>
      <c r="I543" s="57"/>
      <c r="J543" s="57"/>
      <c r="K543" s="63"/>
      <c r="L543" s="57"/>
      <c r="M543" s="57"/>
      <c r="N543" s="57"/>
      <c r="O543" s="57"/>
      <c r="P543" s="57"/>
      <c r="Q543" s="57"/>
    </row>
    <row r="544">
      <c r="A544" s="60" t="s">
        <v>591</v>
      </c>
      <c r="B544" s="60">
        <v>6.0</v>
      </c>
      <c r="C544" s="65"/>
      <c r="D544" s="57"/>
      <c r="E544" s="57"/>
      <c r="F544" s="57"/>
      <c r="G544" s="57"/>
      <c r="H544" s="57"/>
      <c r="I544" s="57"/>
      <c r="J544" s="57"/>
      <c r="K544" s="63"/>
      <c r="L544" s="57"/>
      <c r="M544" s="57"/>
      <c r="N544" s="57"/>
      <c r="O544" s="57"/>
      <c r="P544" s="57"/>
      <c r="Q544" s="57"/>
    </row>
    <row r="545">
      <c r="A545" s="60" t="s">
        <v>592</v>
      </c>
      <c r="B545" s="60" t="s">
        <v>491</v>
      </c>
      <c r="C545" s="65"/>
      <c r="D545" s="57"/>
      <c r="E545" s="57"/>
      <c r="F545" s="57"/>
      <c r="G545" s="57"/>
      <c r="H545" s="57"/>
      <c r="I545" s="57"/>
      <c r="J545" s="57"/>
      <c r="K545" s="63"/>
      <c r="L545" s="57"/>
      <c r="M545" s="57"/>
      <c r="N545" s="57"/>
      <c r="O545" s="57"/>
      <c r="P545" s="57"/>
      <c r="Q545" s="57"/>
    </row>
    <row r="546">
      <c r="A546" s="60" t="s">
        <v>593</v>
      </c>
      <c r="B546" s="60" t="s">
        <v>491</v>
      </c>
      <c r="C546" s="65"/>
      <c r="D546" s="57"/>
      <c r="E546" s="57"/>
      <c r="F546" s="57"/>
      <c r="G546" s="57"/>
      <c r="H546" s="57"/>
      <c r="I546" s="57"/>
      <c r="J546" s="57"/>
      <c r="K546" s="63"/>
      <c r="L546" s="57"/>
      <c r="M546" s="57"/>
      <c r="N546" s="57"/>
      <c r="O546" s="57"/>
      <c r="P546" s="57"/>
      <c r="Q546" s="57"/>
    </row>
    <row r="547">
      <c r="A547" s="60" t="s">
        <v>594</v>
      </c>
      <c r="B547" s="60" t="s">
        <v>478</v>
      </c>
      <c r="C547" s="65"/>
      <c r="D547" s="57"/>
      <c r="E547" s="57"/>
      <c r="F547" s="57"/>
      <c r="G547" s="57"/>
      <c r="H547" s="57"/>
      <c r="I547" s="57"/>
      <c r="J547" s="57"/>
      <c r="K547" s="63"/>
      <c r="L547" s="57"/>
      <c r="M547" s="57"/>
      <c r="N547" s="57"/>
      <c r="O547" s="57"/>
      <c r="P547" s="57"/>
      <c r="Q547" s="57"/>
    </row>
    <row r="548">
      <c r="A548" s="60" t="s">
        <v>595</v>
      </c>
      <c r="B548" s="60" t="s">
        <v>478</v>
      </c>
      <c r="C548" s="65"/>
      <c r="D548" s="57"/>
      <c r="E548" s="57"/>
      <c r="F548" s="57"/>
      <c r="G548" s="57"/>
      <c r="H548" s="57"/>
      <c r="I548" s="57"/>
      <c r="J548" s="57"/>
      <c r="K548" s="63"/>
      <c r="L548" s="57"/>
      <c r="M548" s="57"/>
      <c r="N548" s="57"/>
      <c r="O548" s="57"/>
      <c r="P548" s="57"/>
      <c r="Q548" s="57"/>
    </row>
    <row r="549">
      <c r="A549" s="67" t="s">
        <v>184</v>
      </c>
      <c r="B549" s="60" t="s">
        <v>480</v>
      </c>
      <c r="C549" s="57"/>
      <c r="D549" s="57"/>
      <c r="E549" s="57"/>
      <c r="F549" s="57"/>
      <c r="G549" s="57"/>
      <c r="H549" s="57"/>
      <c r="I549" s="57"/>
      <c r="J549" s="57"/>
      <c r="K549" s="63"/>
      <c r="L549" s="57"/>
      <c r="M549" s="57"/>
      <c r="N549" s="57"/>
      <c r="O549" s="57"/>
      <c r="P549" s="57"/>
      <c r="Q549" s="57"/>
    </row>
    <row r="550">
      <c r="A550" s="60" t="s">
        <v>24</v>
      </c>
      <c r="B550" s="26"/>
      <c r="C550" s="65">
        <v>75.0</v>
      </c>
      <c r="D550" s="57">
        <f>ROUNDDOWN(C550*1.1,0)</f>
        <v>82</v>
      </c>
      <c r="E550" s="57">
        <f>ROUNDDOWN(C550*1.21,0)</f>
        <v>90</v>
      </c>
      <c r="F550" s="57">
        <f>ROUNDDOWN(C550*1.33,0)</f>
        <v>99</v>
      </c>
      <c r="G550" s="57">
        <f>ROUNDDOWN(C550*1.46,0)</f>
        <v>109</v>
      </c>
      <c r="H550" s="57">
        <f>ROUNDDOWN(C550*1.6,0)</f>
        <v>120</v>
      </c>
      <c r="I550" s="57">
        <f>ROUNDDOWN(C550*1.76,0)</f>
        <v>132</v>
      </c>
      <c r="J550" s="57">
        <f>ROUNDDOWN(C550*1.93,0)</f>
        <v>144</v>
      </c>
      <c r="K550" s="63">
        <f>ROUNDDOWN(C550*2.12,0)</f>
        <v>159</v>
      </c>
      <c r="L550" s="57">
        <f>ROUNDDOWN(C550*2.33,0)</f>
        <v>174</v>
      </c>
      <c r="M550" s="57">
        <f>ROUNDDOWN(C550*2.56,0)</f>
        <v>192</v>
      </c>
      <c r="N550" s="57">
        <f>ROUNDDOWN(C550*2.81,0)</f>
        <v>210</v>
      </c>
      <c r="O550" s="57">
        <f>ROUNDDOWN(C550*3.09,0)</f>
        <v>231</v>
      </c>
      <c r="P550" s="57">
        <f>ROUNDDOWN(C550*3.39,0)</f>
        <v>254</v>
      </c>
      <c r="Q550" s="57"/>
    </row>
    <row r="551">
      <c r="A551" s="60" t="s">
        <v>31</v>
      </c>
      <c r="B551" s="26"/>
      <c r="C551" s="65">
        <f t="shared" ref="C551:F551" si="258">ROUNDUP(C550*0.35,0)</f>
        <v>27</v>
      </c>
      <c r="D551" s="65">
        <f t="shared" si="258"/>
        <v>29</v>
      </c>
      <c r="E551" s="65">
        <f t="shared" si="258"/>
        <v>32</v>
      </c>
      <c r="F551" s="65">
        <f t="shared" si="258"/>
        <v>35</v>
      </c>
      <c r="G551" s="65">
        <f t="shared" ref="G551:P551" si="259">ROUNDUP(G550*0.3,0)</f>
        <v>33</v>
      </c>
      <c r="H551" s="65">
        <f t="shared" si="259"/>
        <v>36</v>
      </c>
      <c r="I551" s="65">
        <f t="shared" si="259"/>
        <v>40</v>
      </c>
      <c r="J551" s="65">
        <f t="shared" si="259"/>
        <v>44</v>
      </c>
      <c r="K551" s="66">
        <f t="shared" si="259"/>
        <v>48</v>
      </c>
      <c r="L551" s="65">
        <f t="shared" si="259"/>
        <v>53</v>
      </c>
      <c r="M551" s="65">
        <f t="shared" si="259"/>
        <v>58</v>
      </c>
      <c r="N551" s="65">
        <f t="shared" si="259"/>
        <v>63</v>
      </c>
      <c r="O551" s="65">
        <f t="shared" si="259"/>
        <v>70</v>
      </c>
      <c r="P551" s="65">
        <f t="shared" si="259"/>
        <v>77</v>
      </c>
      <c r="Q551" s="57"/>
    </row>
    <row r="552">
      <c r="A552" s="60" t="s">
        <v>62</v>
      </c>
      <c r="B552" s="60" t="s">
        <v>596</v>
      </c>
      <c r="C552" s="57"/>
      <c r="D552" s="57"/>
      <c r="E552" s="57"/>
      <c r="F552" s="57"/>
      <c r="G552" s="57"/>
      <c r="H552" s="57"/>
      <c r="I552" s="57"/>
      <c r="J552" s="57"/>
      <c r="K552" s="63"/>
      <c r="L552" s="57"/>
      <c r="M552" s="57"/>
      <c r="N552" s="57"/>
      <c r="O552" s="57"/>
      <c r="P552" s="57"/>
      <c r="Q552" s="57"/>
    </row>
    <row r="553">
      <c r="A553" s="60" t="s">
        <v>80</v>
      </c>
      <c r="B553" s="60" t="s">
        <v>462</v>
      </c>
      <c r="C553" s="57"/>
      <c r="D553" s="57"/>
      <c r="E553" s="57"/>
      <c r="F553" s="57"/>
      <c r="G553" s="57"/>
      <c r="H553" s="57"/>
      <c r="I553" s="57"/>
      <c r="J553" s="57"/>
      <c r="K553" s="63"/>
      <c r="L553" s="57"/>
      <c r="M553" s="57"/>
      <c r="N553" s="57"/>
      <c r="O553" s="57"/>
      <c r="P553" s="57"/>
      <c r="Q553" s="57"/>
    </row>
    <row r="554">
      <c r="A554" s="60" t="s">
        <v>63</v>
      </c>
      <c r="B554" s="60" t="s">
        <v>433</v>
      </c>
      <c r="C554" s="57"/>
      <c r="D554" s="57"/>
      <c r="E554" s="57"/>
      <c r="F554" s="57"/>
      <c r="G554" s="57"/>
      <c r="H554" s="57"/>
      <c r="I554" s="57"/>
      <c r="J554" s="57"/>
      <c r="K554" s="63"/>
      <c r="L554" s="57"/>
      <c r="M554" s="57"/>
      <c r="N554" s="57"/>
      <c r="O554" s="57"/>
      <c r="P554" s="57"/>
      <c r="Q554" s="57"/>
    </row>
    <row r="555">
      <c r="A555" s="60" t="s">
        <v>597</v>
      </c>
      <c r="B555" s="82">
        <v>-1.0</v>
      </c>
      <c r="C555" s="57"/>
      <c r="D555" s="57"/>
      <c r="E555" s="57"/>
      <c r="F555" s="57"/>
      <c r="G555" s="57"/>
      <c r="H555" s="57"/>
      <c r="I555" s="57"/>
      <c r="J555" s="57"/>
      <c r="K555" s="63"/>
      <c r="L555" s="57"/>
      <c r="M555" s="57"/>
      <c r="N555" s="57"/>
      <c r="O555" s="57"/>
      <c r="P555" s="57"/>
      <c r="Q555" s="57"/>
    </row>
    <row r="556">
      <c r="A556" s="60" t="s">
        <v>50</v>
      </c>
      <c r="B556" s="60" t="s">
        <v>425</v>
      </c>
      <c r="C556" s="57"/>
      <c r="D556" s="57"/>
      <c r="E556" s="57"/>
      <c r="F556" s="57"/>
      <c r="G556" s="57"/>
      <c r="H556" s="57"/>
      <c r="I556" s="57"/>
      <c r="J556" s="57"/>
      <c r="K556" s="63"/>
      <c r="L556" s="57"/>
      <c r="M556" s="57"/>
      <c r="N556" s="57"/>
      <c r="O556" s="57"/>
      <c r="P556" s="57"/>
      <c r="Q556" s="57"/>
    </row>
    <row r="557">
      <c r="A557" s="67" t="s">
        <v>252</v>
      </c>
      <c r="B557" s="60" t="s">
        <v>468</v>
      </c>
      <c r="C557" s="57"/>
      <c r="D557" s="57"/>
      <c r="E557" s="57"/>
      <c r="F557" s="57"/>
      <c r="G557" s="57"/>
      <c r="H557" s="57"/>
      <c r="I557" s="57"/>
      <c r="J557" s="57"/>
      <c r="K557" s="63"/>
      <c r="L557" s="57"/>
      <c r="M557" s="57"/>
      <c r="N557" s="57"/>
      <c r="O557" s="57"/>
      <c r="P557" s="57"/>
      <c r="Q557" s="57"/>
    </row>
    <row r="558">
      <c r="A558" s="60" t="s">
        <v>38</v>
      </c>
      <c r="B558" s="26"/>
      <c r="C558" s="65">
        <v>90.0</v>
      </c>
      <c r="D558" s="57">
        <f t="shared" ref="D558:D559" si="260">ROUNDDOWN(C558*1.1,0)</f>
        <v>99</v>
      </c>
      <c r="E558" s="57">
        <f t="shared" ref="E558:E559" si="261">ROUNDDOWN(C558*1.21,0)</f>
        <v>108</v>
      </c>
      <c r="F558" s="57">
        <f t="shared" ref="F558:F559" si="262">ROUNDDOWN(C558*1.33,0)</f>
        <v>119</v>
      </c>
      <c r="G558" s="57">
        <f t="shared" ref="G558:G559" si="263">ROUNDDOWN(C558*1.46,0)</f>
        <v>131</v>
      </c>
      <c r="H558" s="57">
        <f t="shared" ref="H558:H559" si="264">ROUNDDOWN(C558*1.6,0)</f>
        <v>144</v>
      </c>
      <c r="I558" s="57">
        <f t="shared" ref="I558:I559" si="265">ROUNDDOWN(C558*1.76,0)</f>
        <v>158</v>
      </c>
      <c r="J558" s="57">
        <f t="shared" ref="J558:J559" si="266">ROUNDDOWN(C558*1.93,0)</f>
        <v>173</v>
      </c>
      <c r="K558" s="63">
        <f t="shared" ref="K558:K559" si="267">ROUNDDOWN(C558*2.12,0)</f>
        <v>190</v>
      </c>
      <c r="L558" s="57">
        <f t="shared" ref="L558:L559" si="268">ROUNDDOWN(C558*2.33,0)</f>
        <v>209</v>
      </c>
      <c r="M558" s="57">
        <f t="shared" ref="M558:M559" si="269">ROUNDDOWN(C558*2.56,0)</f>
        <v>230</v>
      </c>
      <c r="N558" s="57">
        <f t="shared" ref="N558:N559" si="270">ROUNDDOWN(C558*2.81,0)</f>
        <v>252</v>
      </c>
      <c r="O558" s="57">
        <f t="shared" ref="O558:O559" si="271">ROUNDDOWN(C558*3.09,0)</f>
        <v>278</v>
      </c>
      <c r="P558" s="57">
        <f t="shared" ref="P558:P559" si="272">ROUNDDOWN(C558*3.39,0)</f>
        <v>305</v>
      </c>
      <c r="Q558" s="57"/>
    </row>
    <row r="559">
      <c r="A559" s="60" t="s">
        <v>24</v>
      </c>
      <c r="B559" s="26"/>
      <c r="C559" s="65">
        <v>40.0</v>
      </c>
      <c r="D559" s="57">
        <f t="shared" si="260"/>
        <v>44</v>
      </c>
      <c r="E559" s="57">
        <f t="shared" si="261"/>
        <v>48</v>
      </c>
      <c r="F559" s="57">
        <f t="shared" si="262"/>
        <v>53</v>
      </c>
      <c r="G559" s="57">
        <f t="shared" si="263"/>
        <v>58</v>
      </c>
      <c r="H559" s="57">
        <f t="shared" si="264"/>
        <v>64</v>
      </c>
      <c r="I559" s="57">
        <f t="shared" si="265"/>
        <v>70</v>
      </c>
      <c r="J559" s="57">
        <f t="shared" si="266"/>
        <v>77</v>
      </c>
      <c r="K559" s="63">
        <f t="shared" si="267"/>
        <v>84</v>
      </c>
      <c r="L559" s="57">
        <f t="shared" si="268"/>
        <v>93</v>
      </c>
      <c r="M559" s="57">
        <f t="shared" si="269"/>
        <v>102</v>
      </c>
      <c r="N559" s="57">
        <f t="shared" si="270"/>
        <v>112</v>
      </c>
      <c r="O559" s="57">
        <f t="shared" si="271"/>
        <v>123</v>
      </c>
      <c r="P559" s="57">
        <f t="shared" si="272"/>
        <v>135</v>
      </c>
      <c r="Q559" s="57"/>
    </row>
    <row r="560">
      <c r="A560" s="60" t="s">
        <v>428</v>
      </c>
      <c r="B560" s="60" t="s">
        <v>429</v>
      </c>
      <c r="C560" s="57"/>
      <c r="D560" s="57"/>
      <c r="E560" s="57"/>
      <c r="F560" s="57"/>
      <c r="G560" s="57"/>
      <c r="H560" s="57"/>
      <c r="I560" s="57"/>
      <c r="J560" s="57"/>
      <c r="K560" s="63"/>
      <c r="L560" s="57"/>
      <c r="M560" s="57"/>
      <c r="N560" s="57"/>
      <c r="O560" s="57"/>
      <c r="P560" s="57"/>
      <c r="Q560" s="57"/>
    </row>
    <row r="561">
      <c r="A561" s="60" t="s">
        <v>55</v>
      </c>
      <c r="B561" s="60" t="s">
        <v>430</v>
      </c>
      <c r="C561" s="57"/>
      <c r="D561" s="57"/>
      <c r="E561" s="57"/>
      <c r="F561" s="57"/>
      <c r="G561" s="57"/>
      <c r="H561" s="57"/>
      <c r="I561" s="57"/>
      <c r="J561" s="57"/>
      <c r="K561" s="63"/>
      <c r="L561" s="57"/>
      <c r="M561" s="57"/>
      <c r="N561" s="57"/>
      <c r="O561" s="57"/>
      <c r="P561" s="57"/>
      <c r="Q561" s="57"/>
    </row>
    <row r="562">
      <c r="A562" s="60" t="s">
        <v>51</v>
      </c>
      <c r="B562" s="60" t="s">
        <v>431</v>
      </c>
      <c r="C562" s="57"/>
      <c r="D562" s="57"/>
      <c r="E562" s="57"/>
      <c r="F562" s="57"/>
      <c r="G562" s="57"/>
      <c r="H562" s="57"/>
      <c r="I562" s="57"/>
      <c r="J562" s="57"/>
      <c r="K562" s="63"/>
      <c r="L562" s="57"/>
      <c r="M562" s="57"/>
      <c r="N562" s="57"/>
      <c r="O562" s="57"/>
      <c r="P562" s="57"/>
      <c r="Q562" s="57"/>
    </row>
    <row r="563">
      <c r="A563" s="60" t="s">
        <v>49</v>
      </c>
      <c r="B563" s="60" t="s">
        <v>430</v>
      </c>
      <c r="C563" s="57"/>
      <c r="D563" s="57"/>
      <c r="E563" s="57"/>
      <c r="F563" s="57"/>
      <c r="G563" s="57"/>
      <c r="H563" s="57"/>
      <c r="I563" s="57"/>
      <c r="J563" s="57"/>
      <c r="K563" s="63"/>
      <c r="L563" s="57"/>
      <c r="M563" s="57"/>
      <c r="N563" s="57"/>
      <c r="O563" s="57"/>
      <c r="P563" s="57"/>
      <c r="Q563" s="57"/>
    </row>
    <row r="564">
      <c r="A564" s="60" t="s">
        <v>432</v>
      </c>
      <c r="B564" s="60" t="s">
        <v>433</v>
      </c>
      <c r="C564" s="57"/>
      <c r="D564" s="57"/>
      <c r="E564" s="57"/>
      <c r="F564" s="57"/>
      <c r="G564" s="57"/>
      <c r="H564" s="57"/>
      <c r="I564" s="57"/>
      <c r="J564" s="57"/>
      <c r="K564" s="63"/>
      <c r="L564" s="57"/>
      <c r="M564" s="57"/>
      <c r="N564" s="57"/>
      <c r="O564" s="57"/>
      <c r="P564" s="57"/>
      <c r="Q564" s="57"/>
    </row>
    <row r="565">
      <c r="A565" s="60" t="s">
        <v>422</v>
      </c>
      <c r="B565" s="60" t="s">
        <v>434</v>
      </c>
      <c r="C565" s="57"/>
      <c r="D565" s="57"/>
      <c r="E565" s="57"/>
      <c r="F565" s="57"/>
      <c r="G565" s="57"/>
      <c r="H565" s="57"/>
      <c r="I565" s="57"/>
      <c r="J565" s="57"/>
      <c r="K565" s="63"/>
      <c r="L565" s="57"/>
      <c r="M565" s="57"/>
      <c r="N565" s="57"/>
      <c r="O565" s="57"/>
      <c r="P565" s="57"/>
      <c r="Q565" s="57"/>
    </row>
    <row r="566">
      <c r="A566" s="60" t="s">
        <v>435</v>
      </c>
      <c r="B566" s="60" t="s">
        <v>436</v>
      </c>
      <c r="C566" s="57"/>
      <c r="D566" s="57"/>
      <c r="E566" s="57"/>
      <c r="F566" s="57"/>
      <c r="G566" s="57"/>
      <c r="H566" s="57"/>
      <c r="I566" s="57"/>
      <c r="J566" s="57"/>
      <c r="K566" s="63"/>
      <c r="L566" s="57"/>
      <c r="M566" s="57"/>
      <c r="N566" s="57"/>
      <c r="O566" s="57"/>
      <c r="P566" s="57"/>
      <c r="Q566" s="57"/>
    </row>
    <row r="567">
      <c r="A567" s="60" t="s">
        <v>53</v>
      </c>
      <c r="B567" s="60" t="s">
        <v>437</v>
      </c>
      <c r="C567" s="57"/>
      <c r="D567" s="57"/>
      <c r="E567" s="57"/>
      <c r="F567" s="57"/>
      <c r="G567" s="57"/>
      <c r="H567" s="57"/>
      <c r="I567" s="57"/>
      <c r="J567" s="57"/>
      <c r="K567" s="63"/>
      <c r="L567" s="57"/>
      <c r="M567" s="57"/>
      <c r="N567" s="57"/>
      <c r="O567" s="57"/>
      <c r="P567" s="57"/>
      <c r="Q567" s="57"/>
    </row>
    <row r="568">
      <c r="A568" s="60" t="s">
        <v>50</v>
      </c>
      <c r="B568" s="60" t="s">
        <v>425</v>
      </c>
      <c r="C568" s="57"/>
      <c r="D568" s="57"/>
      <c r="E568" s="57"/>
      <c r="F568" s="57"/>
      <c r="G568" s="57"/>
      <c r="H568" s="57"/>
      <c r="I568" s="57"/>
      <c r="J568" s="57"/>
      <c r="K568" s="63"/>
      <c r="L568" s="57"/>
      <c r="M568" s="57"/>
      <c r="N568" s="57"/>
      <c r="O568" s="57"/>
      <c r="P568" s="57"/>
      <c r="Q568" s="57"/>
    </row>
    <row r="569">
      <c r="A569" s="60" t="s">
        <v>438</v>
      </c>
      <c r="B569" s="60" t="s">
        <v>436</v>
      </c>
      <c r="C569" s="57"/>
      <c r="D569" s="57"/>
      <c r="E569" s="57"/>
      <c r="F569" s="57"/>
      <c r="G569" s="57"/>
      <c r="H569" s="57"/>
      <c r="I569" s="57"/>
      <c r="J569" s="57"/>
      <c r="K569" s="63"/>
      <c r="L569" s="57"/>
      <c r="M569" s="57"/>
      <c r="N569" s="57"/>
      <c r="O569" s="57"/>
      <c r="P569" s="57"/>
      <c r="Q569" s="57"/>
    </row>
    <row r="570">
      <c r="A570" s="60" t="s">
        <v>439</v>
      </c>
      <c r="B570" s="60" t="s">
        <v>440</v>
      </c>
      <c r="C570" s="57"/>
      <c r="D570" s="57"/>
      <c r="E570" s="57"/>
      <c r="F570" s="57"/>
      <c r="G570" s="57"/>
      <c r="H570" s="57"/>
      <c r="I570" s="57"/>
      <c r="J570" s="57"/>
      <c r="K570" s="63"/>
      <c r="L570" s="57"/>
      <c r="M570" s="57"/>
      <c r="N570" s="57"/>
      <c r="O570" s="57"/>
      <c r="P570" s="57"/>
      <c r="Q570" s="57"/>
    </row>
    <row r="571">
      <c r="A571" s="60" t="s">
        <v>441</v>
      </c>
      <c r="B571" s="60">
        <v>2.0</v>
      </c>
      <c r="C571" s="57"/>
      <c r="D571" s="57"/>
      <c r="E571" s="57"/>
      <c r="F571" s="57"/>
      <c r="G571" s="57"/>
      <c r="H571" s="57"/>
      <c r="I571" s="57"/>
      <c r="J571" s="57"/>
      <c r="K571" s="63"/>
      <c r="L571" s="57"/>
      <c r="M571" s="57"/>
      <c r="N571" s="57"/>
      <c r="O571" s="57"/>
      <c r="P571" s="57"/>
      <c r="Q571" s="57"/>
    </row>
    <row r="572">
      <c r="A572" s="60" t="s">
        <v>442</v>
      </c>
      <c r="B572" s="60" t="s">
        <v>443</v>
      </c>
      <c r="C572" s="57"/>
      <c r="D572" s="57"/>
      <c r="E572" s="57"/>
      <c r="F572" s="57"/>
      <c r="G572" s="57"/>
      <c r="H572" s="57"/>
      <c r="I572" s="57"/>
      <c r="J572" s="57"/>
      <c r="K572" s="63"/>
      <c r="L572" s="57"/>
      <c r="M572" s="57"/>
      <c r="N572" s="57"/>
      <c r="O572" s="57"/>
      <c r="P572" s="57"/>
      <c r="Q572" s="57"/>
    </row>
    <row r="573">
      <c r="A573" s="60" t="s">
        <v>444</v>
      </c>
      <c r="B573" s="60" t="s">
        <v>445</v>
      </c>
      <c r="C573" s="57"/>
      <c r="D573" s="57"/>
      <c r="E573" s="57"/>
      <c r="F573" s="57"/>
      <c r="G573" s="57"/>
      <c r="H573" s="57"/>
      <c r="I573" s="57"/>
      <c r="J573" s="57"/>
      <c r="K573" s="63"/>
      <c r="L573" s="57"/>
      <c r="M573" s="57"/>
      <c r="N573" s="57"/>
      <c r="O573" s="57"/>
      <c r="P573" s="57"/>
      <c r="Q573" s="57"/>
    </row>
    <row r="574">
      <c r="A574" s="60" t="s">
        <v>446</v>
      </c>
      <c r="B574" s="60" t="s">
        <v>445</v>
      </c>
      <c r="C574" s="57"/>
      <c r="D574" s="57"/>
      <c r="E574" s="57"/>
      <c r="F574" s="57"/>
      <c r="G574" s="57"/>
      <c r="H574" s="57"/>
      <c r="I574" s="57"/>
      <c r="J574" s="57"/>
      <c r="K574" s="63"/>
      <c r="L574" s="57"/>
      <c r="M574" s="57"/>
      <c r="N574" s="57"/>
      <c r="O574" s="57"/>
      <c r="P574" s="57"/>
      <c r="Q574" s="57"/>
    </row>
    <row r="575">
      <c r="A575" s="60" t="s">
        <v>447</v>
      </c>
      <c r="B575" s="60" t="s">
        <v>448</v>
      </c>
      <c r="C575" s="57"/>
      <c r="D575" s="57"/>
      <c r="E575" s="57"/>
      <c r="F575" s="57"/>
      <c r="G575" s="57"/>
      <c r="H575" s="57"/>
      <c r="I575" s="57"/>
      <c r="J575" s="57"/>
      <c r="K575" s="63"/>
      <c r="L575" s="57"/>
      <c r="M575" s="57"/>
      <c r="N575" s="57"/>
      <c r="O575" s="57"/>
      <c r="P575" s="57"/>
      <c r="Q575" s="57"/>
    </row>
    <row r="576">
      <c r="A576" s="60" t="s">
        <v>57</v>
      </c>
      <c r="B576" s="60">
        <v>6.0</v>
      </c>
      <c r="C576" s="57"/>
      <c r="D576" s="57"/>
      <c r="E576" s="57"/>
      <c r="F576" s="57"/>
      <c r="G576" s="57"/>
      <c r="H576" s="57"/>
      <c r="I576" s="57"/>
      <c r="J576" s="57"/>
      <c r="K576" s="63"/>
      <c r="L576" s="57"/>
      <c r="M576" s="57"/>
      <c r="N576" s="57"/>
      <c r="O576" s="57"/>
      <c r="P576" s="57"/>
      <c r="Q576" s="57"/>
    </row>
    <row r="577">
      <c r="A577" s="60" t="s">
        <v>449</v>
      </c>
      <c r="B577" s="60" t="s">
        <v>450</v>
      </c>
      <c r="C577" s="57"/>
      <c r="D577" s="57"/>
      <c r="E577" s="57"/>
      <c r="F577" s="57"/>
      <c r="G577" s="57"/>
      <c r="H577" s="57"/>
      <c r="I577" s="57"/>
      <c r="J577" s="57"/>
      <c r="K577" s="63"/>
      <c r="L577" s="57"/>
      <c r="M577" s="57"/>
      <c r="N577" s="57"/>
      <c r="O577" s="57"/>
      <c r="P577" s="57"/>
      <c r="Q577" s="57"/>
    </row>
    <row r="578">
      <c r="A578" s="68" t="s">
        <v>153</v>
      </c>
      <c r="B578" s="60" t="s">
        <v>468</v>
      </c>
      <c r="C578" s="57"/>
      <c r="D578" s="57"/>
      <c r="E578" s="57"/>
      <c r="F578" s="57"/>
      <c r="G578" s="57"/>
      <c r="H578" s="57"/>
      <c r="I578" s="57"/>
      <c r="J578" s="57"/>
      <c r="K578" s="63"/>
      <c r="L578" s="57"/>
      <c r="M578" s="57"/>
      <c r="N578" s="57"/>
      <c r="O578" s="57"/>
      <c r="P578" s="57"/>
      <c r="Q578" s="57"/>
    </row>
    <row r="579">
      <c r="A579" s="60" t="s">
        <v>38</v>
      </c>
      <c r="B579" s="26"/>
      <c r="C579" s="57"/>
      <c r="D579" s="57"/>
      <c r="E579" s="65">
        <v>825.0</v>
      </c>
      <c r="F579" s="57">
        <f t="shared" ref="F579:F582" si="273">ROUNDDOWN(E579*1.1,0)</f>
        <v>907</v>
      </c>
      <c r="G579" s="57">
        <f t="shared" ref="G579:G582" si="274">ROUNDDOWN(E579*1.21,0)</f>
        <v>998</v>
      </c>
      <c r="H579" s="57">
        <f t="shared" ref="H579:H582" si="275">ROUNDDOWN(E579*1.33,0)</f>
        <v>1097</v>
      </c>
      <c r="I579" s="57">
        <f t="shared" ref="I579:I582" si="276">ROUNDDOWN(E579*1.46,0)</f>
        <v>1204</v>
      </c>
      <c r="J579" s="57">
        <f t="shared" ref="J579:J582" si="277">ROUNDDOWN(E579*1.6,0)</f>
        <v>1320</v>
      </c>
      <c r="K579" s="63">
        <f t="shared" ref="K579:K582" si="278">ROUNDDOWN(E579*1.76,0)</f>
        <v>1452</v>
      </c>
      <c r="L579" s="57">
        <f t="shared" ref="L579:L582" si="279">ROUNDDOWN(E579*1.93,0)</f>
        <v>1592</v>
      </c>
      <c r="M579" s="57">
        <f t="shared" ref="M579:M582" si="280">ROUNDDOWN(E579*2.12,0)</f>
        <v>1749</v>
      </c>
      <c r="N579" s="57">
        <f t="shared" ref="N579:N582" si="281">ROUNDDOWN(E579*2.33,0)</f>
        <v>1922</v>
      </c>
      <c r="O579" s="57">
        <f t="shared" ref="O579:O582" si="282">ROUNDDOWN(E579*2.56,0)</f>
        <v>2112</v>
      </c>
      <c r="P579" s="57">
        <f t="shared" ref="P579:P582" si="283">ROUNDDOWN(E579*2.81,0)</f>
        <v>2318</v>
      </c>
      <c r="Q579" s="57"/>
    </row>
    <row r="580">
      <c r="A580" s="60" t="s">
        <v>598</v>
      </c>
      <c r="B580" s="26"/>
      <c r="C580" s="57"/>
      <c r="D580" s="57"/>
      <c r="E580" s="65">
        <v>20.0</v>
      </c>
      <c r="F580" s="57">
        <f t="shared" si="273"/>
        <v>22</v>
      </c>
      <c r="G580" s="57">
        <f t="shared" si="274"/>
        <v>24</v>
      </c>
      <c r="H580" s="57">
        <f t="shared" si="275"/>
        <v>26</v>
      </c>
      <c r="I580" s="57">
        <f t="shared" si="276"/>
        <v>29</v>
      </c>
      <c r="J580" s="57">
        <f t="shared" si="277"/>
        <v>32</v>
      </c>
      <c r="K580" s="63">
        <f t="shared" si="278"/>
        <v>35</v>
      </c>
      <c r="L580" s="57">
        <f t="shared" si="279"/>
        <v>38</v>
      </c>
      <c r="M580" s="57">
        <f t="shared" si="280"/>
        <v>42</v>
      </c>
      <c r="N580" s="57">
        <f t="shared" si="281"/>
        <v>46</v>
      </c>
      <c r="O580" s="57">
        <f t="shared" si="282"/>
        <v>51</v>
      </c>
      <c r="P580" s="57">
        <f t="shared" si="283"/>
        <v>56</v>
      </c>
      <c r="Q580" s="57"/>
    </row>
    <row r="581">
      <c r="A581" s="60" t="s">
        <v>599</v>
      </c>
      <c r="B581" s="26"/>
      <c r="C581" s="57"/>
      <c r="D581" s="57"/>
      <c r="E581" s="65">
        <v>75.0</v>
      </c>
      <c r="F581" s="57">
        <f t="shared" si="273"/>
        <v>82</v>
      </c>
      <c r="G581" s="57">
        <f t="shared" si="274"/>
        <v>90</v>
      </c>
      <c r="H581" s="57">
        <f t="shared" si="275"/>
        <v>99</v>
      </c>
      <c r="I581" s="57">
        <f t="shared" si="276"/>
        <v>109</v>
      </c>
      <c r="J581" s="57">
        <f t="shared" si="277"/>
        <v>120</v>
      </c>
      <c r="K581" s="63">
        <f t="shared" si="278"/>
        <v>132</v>
      </c>
      <c r="L581" s="57">
        <f t="shared" si="279"/>
        <v>144</v>
      </c>
      <c r="M581" s="57">
        <f t="shared" si="280"/>
        <v>159</v>
      </c>
      <c r="N581" s="57">
        <f t="shared" si="281"/>
        <v>174</v>
      </c>
      <c r="O581" s="57">
        <f t="shared" si="282"/>
        <v>192</v>
      </c>
      <c r="P581" s="57">
        <f t="shared" si="283"/>
        <v>210</v>
      </c>
      <c r="Q581" s="57"/>
    </row>
    <row r="582">
      <c r="A582" s="60" t="s">
        <v>600</v>
      </c>
      <c r="B582" s="26"/>
      <c r="C582" s="57"/>
      <c r="D582" s="57"/>
      <c r="E582" s="65">
        <v>400.0</v>
      </c>
      <c r="F582" s="57">
        <f t="shared" si="273"/>
        <v>440</v>
      </c>
      <c r="G582" s="57">
        <f t="shared" si="274"/>
        <v>484</v>
      </c>
      <c r="H582" s="57">
        <f t="shared" si="275"/>
        <v>532</v>
      </c>
      <c r="I582" s="57">
        <f t="shared" si="276"/>
        <v>584</v>
      </c>
      <c r="J582" s="57">
        <f t="shared" si="277"/>
        <v>640</v>
      </c>
      <c r="K582" s="63">
        <f t="shared" si="278"/>
        <v>704</v>
      </c>
      <c r="L582" s="57">
        <f t="shared" si="279"/>
        <v>772</v>
      </c>
      <c r="M582" s="57">
        <f t="shared" si="280"/>
        <v>848</v>
      </c>
      <c r="N582" s="57">
        <f t="shared" si="281"/>
        <v>932</v>
      </c>
      <c r="O582" s="57">
        <f t="shared" si="282"/>
        <v>1024</v>
      </c>
      <c r="P582" s="57">
        <f t="shared" si="283"/>
        <v>1124</v>
      </c>
      <c r="Q582" s="57"/>
    </row>
    <row r="583">
      <c r="A583" s="60" t="s">
        <v>428</v>
      </c>
      <c r="B583" s="60" t="s">
        <v>465</v>
      </c>
      <c r="C583" s="57"/>
      <c r="D583" s="57"/>
      <c r="E583" s="57"/>
      <c r="F583" s="57"/>
      <c r="G583" s="57"/>
      <c r="H583" s="57"/>
      <c r="I583" s="57"/>
      <c r="J583" s="57"/>
      <c r="K583" s="63"/>
      <c r="L583" s="57"/>
      <c r="M583" s="57"/>
      <c r="N583" s="57"/>
      <c r="O583" s="57"/>
      <c r="P583" s="57"/>
      <c r="Q583" s="57"/>
    </row>
    <row r="584">
      <c r="A584" s="60" t="s">
        <v>55</v>
      </c>
      <c r="B584" s="60" t="s">
        <v>430</v>
      </c>
      <c r="C584" s="57"/>
      <c r="D584" s="57"/>
      <c r="E584" s="57"/>
      <c r="F584" s="57"/>
      <c r="G584" s="57"/>
      <c r="H584" s="57"/>
      <c r="I584" s="57"/>
      <c r="J584" s="57"/>
      <c r="K584" s="63"/>
      <c r="L584" s="57"/>
      <c r="M584" s="57"/>
      <c r="N584" s="57"/>
      <c r="O584" s="57"/>
      <c r="P584" s="57"/>
      <c r="Q584" s="57"/>
    </row>
    <row r="585">
      <c r="A585" s="60" t="s">
        <v>49</v>
      </c>
      <c r="B585" s="60" t="s">
        <v>448</v>
      </c>
      <c r="C585" s="57"/>
      <c r="D585" s="57"/>
      <c r="E585" s="57"/>
      <c r="F585" s="57"/>
      <c r="G585" s="57"/>
      <c r="H585" s="57"/>
      <c r="I585" s="57"/>
      <c r="J585" s="57"/>
      <c r="K585" s="63"/>
      <c r="L585" s="57"/>
      <c r="M585" s="57"/>
      <c r="N585" s="57"/>
      <c r="O585" s="57"/>
      <c r="P585" s="57"/>
      <c r="Q585" s="57"/>
    </row>
    <row r="586">
      <c r="A586" s="60" t="s">
        <v>432</v>
      </c>
      <c r="B586" s="60" t="s">
        <v>513</v>
      </c>
      <c r="C586" s="57"/>
      <c r="D586" s="57"/>
      <c r="E586" s="57"/>
      <c r="F586" s="57"/>
      <c r="G586" s="57"/>
      <c r="H586" s="57"/>
      <c r="I586" s="57"/>
      <c r="J586" s="57"/>
      <c r="K586" s="63"/>
      <c r="L586" s="57"/>
      <c r="M586" s="57"/>
      <c r="N586" s="57"/>
      <c r="O586" s="57"/>
      <c r="P586" s="57"/>
      <c r="Q586" s="57"/>
    </row>
    <row r="587">
      <c r="A587" s="60" t="s">
        <v>53</v>
      </c>
      <c r="B587" s="60" t="s">
        <v>465</v>
      </c>
      <c r="C587" s="57"/>
      <c r="D587" s="57"/>
      <c r="E587" s="57"/>
      <c r="F587" s="57"/>
      <c r="G587" s="57"/>
      <c r="H587" s="57"/>
      <c r="I587" s="57"/>
      <c r="J587" s="57"/>
      <c r="K587" s="63"/>
      <c r="L587" s="57"/>
      <c r="M587" s="57"/>
      <c r="N587" s="57"/>
      <c r="O587" s="57"/>
      <c r="P587" s="57"/>
      <c r="Q587" s="57"/>
    </row>
    <row r="588">
      <c r="A588" s="60" t="s">
        <v>50</v>
      </c>
      <c r="B588" s="60" t="s">
        <v>425</v>
      </c>
      <c r="C588" s="57"/>
      <c r="D588" s="57"/>
      <c r="E588" s="57"/>
      <c r="F588" s="57"/>
      <c r="G588" s="57"/>
      <c r="H588" s="57"/>
      <c r="I588" s="57"/>
      <c r="J588" s="57"/>
      <c r="K588" s="63"/>
      <c r="L588" s="57"/>
      <c r="M588" s="57"/>
      <c r="N588" s="57"/>
      <c r="O588" s="57"/>
      <c r="P588" s="57"/>
      <c r="Q588" s="57"/>
    </row>
    <row r="589">
      <c r="A589" s="60" t="s">
        <v>56</v>
      </c>
      <c r="B589" s="60" t="s">
        <v>548</v>
      </c>
      <c r="C589" s="57"/>
      <c r="D589" s="57"/>
      <c r="E589" s="57"/>
      <c r="F589" s="57"/>
      <c r="G589" s="57"/>
      <c r="H589" s="57"/>
      <c r="I589" s="57"/>
      <c r="J589" s="57"/>
      <c r="K589" s="63"/>
      <c r="L589" s="57"/>
      <c r="M589" s="57"/>
      <c r="N589" s="57"/>
      <c r="O589" s="57"/>
      <c r="P589" s="57"/>
      <c r="Q589" s="57"/>
    </row>
    <row r="590">
      <c r="A590" s="60" t="s">
        <v>439</v>
      </c>
      <c r="B590" s="60" t="s">
        <v>502</v>
      </c>
      <c r="C590" s="57"/>
      <c r="D590" s="57"/>
      <c r="E590" s="57"/>
      <c r="F590" s="57"/>
      <c r="G590" s="57"/>
      <c r="H590" s="57"/>
      <c r="I590" s="57"/>
      <c r="J590" s="57"/>
      <c r="K590" s="63"/>
      <c r="L590" s="57"/>
      <c r="M590" s="57"/>
      <c r="N590" s="57"/>
      <c r="O590" s="57"/>
      <c r="P590" s="57"/>
      <c r="Q590" s="57"/>
    </row>
    <row r="591">
      <c r="A591" s="60" t="s">
        <v>444</v>
      </c>
      <c r="B591" s="60" t="s">
        <v>505</v>
      </c>
      <c r="C591" s="57"/>
      <c r="D591" s="57"/>
      <c r="E591" s="57"/>
      <c r="F591" s="57"/>
      <c r="G591" s="57"/>
      <c r="H591" s="57"/>
      <c r="I591" s="57"/>
      <c r="J591" s="57"/>
      <c r="K591" s="63"/>
      <c r="L591" s="57"/>
      <c r="M591" s="57"/>
      <c r="N591" s="57"/>
      <c r="O591" s="57"/>
      <c r="P591" s="57"/>
      <c r="Q591" s="57"/>
    </row>
    <row r="592">
      <c r="A592" s="60" t="s">
        <v>446</v>
      </c>
      <c r="B592" s="60" t="s">
        <v>505</v>
      </c>
      <c r="C592" s="57"/>
      <c r="D592" s="57"/>
      <c r="E592" s="57"/>
      <c r="F592" s="57"/>
      <c r="G592" s="57"/>
      <c r="H592" s="57"/>
      <c r="I592" s="57"/>
      <c r="J592" s="57"/>
      <c r="K592" s="63"/>
      <c r="L592" s="57"/>
      <c r="M592" s="57"/>
      <c r="N592" s="57"/>
      <c r="O592" s="57"/>
      <c r="P592" s="57"/>
      <c r="Q592" s="57"/>
    </row>
    <row r="593">
      <c r="A593" s="60" t="s">
        <v>601</v>
      </c>
      <c r="B593" s="60" t="s">
        <v>602</v>
      </c>
      <c r="C593" s="57"/>
      <c r="D593" s="57"/>
      <c r="E593" s="57"/>
      <c r="F593" s="57"/>
      <c r="G593" s="57"/>
      <c r="H593" s="57"/>
      <c r="I593" s="57"/>
      <c r="J593" s="57"/>
      <c r="K593" s="63"/>
      <c r="L593" s="57"/>
      <c r="M593" s="57"/>
      <c r="N593" s="57"/>
      <c r="O593" s="57"/>
      <c r="P593" s="57"/>
      <c r="Q593" s="57"/>
    </row>
    <row r="594">
      <c r="A594" s="60" t="s">
        <v>603</v>
      </c>
      <c r="B594" s="60" t="s">
        <v>602</v>
      </c>
      <c r="C594" s="57"/>
      <c r="D594" s="57"/>
      <c r="E594" s="57"/>
      <c r="F594" s="57"/>
      <c r="G594" s="57"/>
      <c r="H594" s="57"/>
      <c r="I594" s="57"/>
      <c r="J594" s="57"/>
      <c r="K594" s="63"/>
      <c r="L594" s="57"/>
      <c r="M594" s="57"/>
      <c r="N594" s="57"/>
      <c r="O594" s="57"/>
      <c r="P594" s="57"/>
      <c r="Q594" s="57"/>
    </row>
    <row r="595">
      <c r="A595" s="68" t="s">
        <v>142</v>
      </c>
      <c r="B595" s="60" t="s">
        <v>416</v>
      </c>
      <c r="C595" s="57"/>
      <c r="D595" s="57"/>
      <c r="E595" s="57"/>
      <c r="F595" s="57"/>
      <c r="G595" s="57"/>
      <c r="H595" s="57"/>
      <c r="I595" s="57"/>
      <c r="J595" s="57"/>
      <c r="K595" s="63"/>
      <c r="L595" s="57"/>
      <c r="M595" s="57"/>
      <c r="N595" s="57"/>
      <c r="O595" s="57"/>
      <c r="P595" s="57"/>
      <c r="Q595" s="57"/>
    </row>
    <row r="596">
      <c r="A596" s="60" t="s">
        <v>38</v>
      </c>
      <c r="B596" s="26"/>
      <c r="C596" s="57"/>
      <c r="D596" s="57"/>
      <c r="E596" s="65">
        <v>395.0</v>
      </c>
      <c r="F596" s="57">
        <f t="shared" ref="F596:F597" si="284">ROUNDDOWN(E596*1.1,0)</f>
        <v>434</v>
      </c>
      <c r="G596" s="57">
        <f t="shared" ref="G596:G597" si="285">ROUNDDOWN(E596*1.21,0)</f>
        <v>477</v>
      </c>
      <c r="H596" s="57">
        <f t="shared" ref="H596:H597" si="286">ROUNDDOWN(E596*1.33,0)</f>
        <v>525</v>
      </c>
      <c r="I596" s="57">
        <f t="shared" ref="I596:I597" si="287">ROUNDDOWN(E596*1.46,0)</f>
        <v>576</v>
      </c>
      <c r="J596" s="57">
        <f t="shared" ref="J596:J597" si="288">ROUNDDOWN(E596*1.6,0)</f>
        <v>632</v>
      </c>
      <c r="K596" s="63">
        <f t="shared" ref="K596:K597" si="289">ROUNDDOWN(E596*1.76,0)</f>
        <v>695</v>
      </c>
      <c r="L596" s="57">
        <f t="shared" ref="L596:L597" si="290">ROUNDDOWN(E596*1.93,0)</f>
        <v>762</v>
      </c>
      <c r="M596" s="57">
        <f t="shared" ref="M596:M597" si="291">ROUNDDOWN(E596*2.12,0)</f>
        <v>837</v>
      </c>
      <c r="N596" s="57">
        <f t="shared" ref="N596:N597" si="292">ROUNDDOWN(E596*2.33,0)</f>
        <v>920</v>
      </c>
      <c r="O596" s="57">
        <f t="shared" ref="O596:O597" si="293">ROUNDDOWN(E596*2.56,0)</f>
        <v>1011</v>
      </c>
      <c r="P596" s="57">
        <f t="shared" ref="P596:P597" si="294">ROUNDDOWN(E596*2.81,0)</f>
        <v>1109</v>
      </c>
      <c r="Q596" s="57"/>
    </row>
    <row r="597">
      <c r="A597" s="60" t="s">
        <v>24</v>
      </c>
      <c r="B597" s="26"/>
      <c r="C597" s="57"/>
      <c r="D597" s="57"/>
      <c r="E597" s="65">
        <v>147.0</v>
      </c>
      <c r="F597" s="57">
        <f t="shared" si="284"/>
        <v>161</v>
      </c>
      <c r="G597" s="57">
        <f t="shared" si="285"/>
        <v>177</v>
      </c>
      <c r="H597" s="57">
        <f t="shared" si="286"/>
        <v>195</v>
      </c>
      <c r="I597" s="57">
        <f t="shared" si="287"/>
        <v>214</v>
      </c>
      <c r="J597" s="57">
        <f t="shared" si="288"/>
        <v>235</v>
      </c>
      <c r="K597" s="63">
        <f t="shared" si="289"/>
        <v>258</v>
      </c>
      <c r="L597" s="57">
        <f t="shared" si="290"/>
        <v>283</v>
      </c>
      <c r="M597" s="57">
        <f t="shared" si="291"/>
        <v>311</v>
      </c>
      <c r="N597" s="57">
        <f t="shared" si="292"/>
        <v>342</v>
      </c>
      <c r="O597" s="57">
        <f t="shared" si="293"/>
        <v>376</v>
      </c>
      <c r="P597" s="57">
        <f t="shared" si="294"/>
        <v>413</v>
      </c>
      <c r="Q597" s="57"/>
    </row>
    <row r="598">
      <c r="A598" s="60" t="s">
        <v>428</v>
      </c>
      <c r="B598" s="60" t="s">
        <v>429</v>
      </c>
      <c r="C598" s="57"/>
      <c r="D598" s="57"/>
      <c r="E598" s="57"/>
      <c r="F598" s="57"/>
      <c r="G598" s="57"/>
      <c r="H598" s="57"/>
      <c r="I598" s="57"/>
      <c r="J598" s="57"/>
      <c r="K598" s="63"/>
      <c r="L598" s="57"/>
      <c r="M598" s="57"/>
      <c r="N598" s="57"/>
      <c r="O598" s="57"/>
      <c r="P598" s="57"/>
      <c r="Q598" s="57"/>
    </row>
    <row r="599">
      <c r="A599" s="60" t="s">
        <v>55</v>
      </c>
      <c r="B599" s="60" t="s">
        <v>430</v>
      </c>
      <c r="C599" s="57"/>
      <c r="D599" s="57"/>
      <c r="E599" s="57"/>
      <c r="F599" s="57"/>
      <c r="G599" s="57"/>
      <c r="H599" s="57"/>
      <c r="I599" s="57"/>
      <c r="J599" s="57"/>
      <c r="K599" s="63"/>
      <c r="L599" s="57"/>
      <c r="M599" s="57"/>
      <c r="N599" s="57"/>
      <c r="O599" s="57"/>
      <c r="P599" s="57"/>
      <c r="Q599" s="57"/>
    </row>
    <row r="600">
      <c r="A600" s="60" t="s">
        <v>51</v>
      </c>
      <c r="B600" s="60" t="s">
        <v>451</v>
      </c>
      <c r="C600" s="57"/>
      <c r="D600" s="57"/>
      <c r="E600" s="57"/>
      <c r="F600" s="57"/>
      <c r="G600" s="57"/>
      <c r="H600" s="57"/>
      <c r="I600" s="57"/>
      <c r="J600" s="57"/>
      <c r="K600" s="63"/>
      <c r="L600" s="57"/>
      <c r="M600" s="57"/>
      <c r="N600" s="57"/>
      <c r="O600" s="57"/>
      <c r="P600" s="57"/>
      <c r="Q600" s="57"/>
    </row>
    <row r="601">
      <c r="A601" s="60" t="s">
        <v>49</v>
      </c>
      <c r="B601" s="60" t="s">
        <v>513</v>
      </c>
      <c r="C601" s="57"/>
      <c r="D601" s="57"/>
      <c r="E601" s="57"/>
      <c r="F601" s="57"/>
      <c r="G601" s="57"/>
      <c r="H601" s="57"/>
      <c r="I601" s="57"/>
      <c r="J601" s="57"/>
      <c r="K601" s="63"/>
      <c r="L601" s="57"/>
      <c r="M601" s="57"/>
      <c r="N601" s="57"/>
      <c r="O601" s="57"/>
      <c r="P601" s="57"/>
      <c r="Q601" s="57"/>
    </row>
    <row r="602">
      <c r="A602" s="60" t="s">
        <v>432</v>
      </c>
      <c r="B602" s="60" t="s">
        <v>452</v>
      </c>
      <c r="C602" s="57"/>
      <c r="D602" s="57"/>
      <c r="E602" s="57"/>
      <c r="F602" s="57"/>
      <c r="G602" s="57"/>
      <c r="H602" s="57"/>
      <c r="I602" s="57"/>
      <c r="J602" s="57"/>
      <c r="K602" s="63"/>
      <c r="L602" s="57"/>
      <c r="M602" s="57"/>
      <c r="N602" s="57"/>
      <c r="O602" s="57"/>
      <c r="P602" s="57"/>
      <c r="Q602" s="57"/>
    </row>
    <row r="603">
      <c r="A603" s="60" t="s">
        <v>422</v>
      </c>
      <c r="B603" s="60" t="s">
        <v>434</v>
      </c>
      <c r="C603" s="57"/>
      <c r="D603" s="57"/>
      <c r="E603" s="57"/>
      <c r="F603" s="57"/>
      <c r="G603" s="57"/>
      <c r="H603" s="57"/>
      <c r="I603" s="57"/>
      <c r="J603" s="57"/>
      <c r="K603" s="63"/>
      <c r="L603" s="57"/>
      <c r="M603" s="57"/>
      <c r="N603" s="57"/>
      <c r="O603" s="57"/>
      <c r="P603" s="57"/>
      <c r="Q603" s="57"/>
    </row>
    <row r="604">
      <c r="A604" s="60" t="s">
        <v>435</v>
      </c>
      <c r="B604" s="60" t="s">
        <v>436</v>
      </c>
      <c r="C604" s="57"/>
      <c r="D604" s="57"/>
      <c r="E604" s="57"/>
      <c r="F604" s="57"/>
      <c r="G604" s="57"/>
      <c r="H604" s="57"/>
      <c r="I604" s="57"/>
      <c r="J604" s="57"/>
      <c r="K604" s="63"/>
      <c r="L604" s="57"/>
      <c r="M604" s="57"/>
      <c r="N604" s="57"/>
      <c r="O604" s="57"/>
      <c r="P604" s="57"/>
      <c r="Q604" s="57"/>
    </row>
    <row r="605">
      <c r="A605" s="60" t="s">
        <v>53</v>
      </c>
      <c r="B605" s="60" t="s">
        <v>437</v>
      </c>
      <c r="C605" s="57"/>
      <c r="D605" s="57"/>
      <c r="E605" s="57"/>
      <c r="F605" s="57"/>
      <c r="G605" s="57"/>
      <c r="H605" s="57"/>
      <c r="I605" s="57"/>
      <c r="J605" s="57"/>
      <c r="K605" s="63"/>
      <c r="L605" s="57"/>
      <c r="M605" s="57"/>
      <c r="N605" s="57"/>
      <c r="O605" s="57"/>
      <c r="P605" s="57"/>
      <c r="Q605" s="57"/>
    </row>
    <row r="606">
      <c r="A606" s="60" t="s">
        <v>50</v>
      </c>
      <c r="B606" s="60" t="s">
        <v>425</v>
      </c>
      <c r="C606" s="57"/>
      <c r="D606" s="57"/>
      <c r="E606" s="57"/>
      <c r="F606" s="57"/>
      <c r="G606" s="57"/>
      <c r="H606" s="57"/>
      <c r="I606" s="57"/>
      <c r="J606" s="57"/>
      <c r="K606" s="63"/>
      <c r="L606" s="57"/>
      <c r="M606" s="57"/>
      <c r="N606" s="57"/>
      <c r="O606" s="57"/>
      <c r="P606" s="57"/>
      <c r="Q606" s="57"/>
    </row>
    <row r="607">
      <c r="A607" s="60" t="s">
        <v>438</v>
      </c>
      <c r="B607" s="60" t="s">
        <v>436</v>
      </c>
      <c r="C607" s="57"/>
      <c r="D607" s="57"/>
      <c r="E607" s="57"/>
      <c r="F607" s="57"/>
      <c r="G607" s="57"/>
      <c r="H607" s="57"/>
      <c r="I607" s="57"/>
      <c r="J607" s="57"/>
      <c r="K607" s="63"/>
      <c r="L607" s="57"/>
      <c r="M607" s="57"/>
      <c r="N607" s="57"/>
      <c r="O607" s="57"/>
      <c r="P607" s="57"/>
      <c r="Q607" s="57"/>
    </row>
    <row r="608">
      <c r="A608" s="60" t="s">
        <v>439</v>
      </c>
      <c r="B608" s="60" t="s">
        <v>502</v>
      </c>
      <c r="C608" s="57"/>
      <c r="D608" s="57"/>
      <c r="E608" s="57"/>
      <c r="F608" s="57"/>
      <c r="G608" s="57"/>
      <c r="H608" s="57"/>
      <c r="I608" s="57"/>
      <c r="J608" s="57"/>
      <c r="K608" s="63"/>
      <c r="L608" s="57"/>
      <c r="M608" s="57"/>
      <c r="N608" s="57"/>
      <c r="O608" s="57"/>
      <c r="P608" s="57"/>
      <c r="Q608" s="57"/>
    </row>
    <row r="609">
      <c r="A609" s="60" t="s">
        <v>441</v>
      </c>
      <c r="B609" s="60">
        <v>6.0</v>
      </c>
      <c r="C609" s="57"/>
      <c r="D609" s="57"/>
      <c r="E609" s="57"/>
      <c r="F609" s="57"/>
      <c r="G609" s="57"/>
      <c r="H609" s="57"/>
      <c r="I609" s="57"/>
      <c r="J609" s="57"/>
      <c r="K609" s="63"/>
      <c r="L609" s="57"/>
      <c r="M609" s="57"/>
      <c r="N609" s="57"/>
      <c r="O609" s="57"/>
      <c r="P609" s="57"/>
      <c r="Q609" s="57"/>
    </row>
    <row r="610">
      <c r="A610" s="60" t="s">
        <v>442</v>
      </c>
      <c r="B610" s="60" t="s">
        <v>443</v>
      </c>
      <c r="C610" s="57"/>
      <c r="D610" s="57"/>
      <c r="E610" s="57"/>
      <c r="F610" s="57"/>
      <c r="G610" s="57"/>
      <c r="H610" s="57"/>
      <c r="I610" s="57"/>
      <c r="J610" s="57"/>
      <c r="K610" s="63"/>
      <c r="L610" s="57"/>
      <c r="M610" s="57"/>
      <c r="N610" s="57"/>
      <c r="O610" s="57"/>
      <c r="P610" s="57"/>
      <c r="Q610" s="57"/>
    </row>
    <row r="611">
      <c r="A611" s="60" t="s">
        <v>444</v>
      </c>
      <c r="B611" s="60" t="s">
        <v>445</v>
      </c>
      <c r="C611" s="57"/>
      <c r="D611" s="57"/>
      <c r="E611" s="57"/>
      <c r="F611" s="57"/>
      <c r="G611" s="57"/>
      <c r="H611" s="57"/>
      <c r="I611" s="57"/>
      <c r="J611" s="57"/>
      <c r="K611" s="63"/>
      <c r="L611" s="57"/>
      <c r="M611" s="57"/>
      <c r="N611" s="57"/>
      <c r="O611" s="57"/>
      <c r="P611" s="57"/>
      <c r="Q611" s="57"/>
    </row>
    <row r="612">
      <c r="A612" s="60" t="s">
        <v>446</v>
      </c>
      <c r="B612" s="60" t="s">
        <v>445</v>
      </c>
      <c r="C612" s="57"/>
      <c r="D612" s="57"/>
      <c r="E612" s="57"/>
      <c r="F612" s="57"/>
      <c r="G612" s="57"/>
      <c r="H612" s="57"/>
      <c r="I612" s="57"/>
      <c r="J612" s="57"/>
      <c r="K612" s="63"/>
      <c r="L612" s="57"/>
      <c r="M612" s="57"/>
      <c r="N612" s="57"/>
      <c r="O612" s="57"/>
      <c r="P612" s="57"/>
      <c r="Q612" s="57"/>
    </row>
    <row r="613">
      <c r="A613" s="76" t="s">
        <v>223</v>
      </c>
      <c r="B613" s="60" t="s">
        <v>539</v>
      </c>
      <c r="C613" s="57"/>
      <c r="D613" s="57"/>
      <c r="E613" s="57"/>
      <c r="F613" s="57"/>
      <c r="G613" s="57"/>
      <c r="H613" s="57"/>
      <c r="I613" s="57"/>
      <c r="J613" s="57"/>
      <c r="K613" s="63"/>
      <c r="L613" s="57"/>
      <c r="M613" s="57"/>
      <c r="N613" s="57"/>
      <c r="O613" s="57"/>
      <c r="P613" s="57"/>
      <c r="Q613" s="57"/>
    </row>
    <row r="614">
      <c r="A614" s="60" t="s">
        <v>24</v>
      </c>
      <c r="B614" s="60"/>
      <c r="C614" s="57"/>
      <c r="D614" s="57"/>
      <c r="E614" s="57"/>
      <c r="F614" s="57"/>
      <c r="G614" s="57"/>
      <c r="H614" s="65">
        <v>660.0</v>
      </c>
      <c r="I614" s="57">
        <f>ROUNDDOWN(H614*1.1,0)</f>
        <v>726</v>
      </c>
      <c r="J614" s="57">
        <f>ROUNDDOWN(H614*1.21,0)</f>
        <v>798</v>
      </c>
      <c r="K614" s="63">
        <f>ROUNDDOWN(H614*1.33,0)</f>
        <v>877</v>
      </c>
      <c r="L614" s="57">
        <f>ROUNDDOWN(H614*1.46,0)</f>
        <v>963</v>
      </c>
      <c r="M614" s="57">
        <f>ROUNDDOWN(H614*1.6,0)</f>
        <v>1056</v>
      </c>
      <c r="N614" s="57">
        <f>ROUNDDOWN(H614*1.76,0)</f>
        <v>1161</v>
      </c>
      <c r="O614" s="57">
        <f>ROUNDDOWN(H614*1.93,0)</f>
        <v>1273</v>
      </c>
      <c r="P614" s="57">
        <f>ROUNDDOWN(H614*2.12,0)</f>
        <v>1399</v>
      </c>
      <c r="Q614" s="57"/>
    </row>
    <row r="615">
      <c r="A615" s="60" t="s">
        <v>31</v>
      </c>
      <c r="B615" s="60"/>
      <c r="C615" s="57"/>
      <c r="D615" s="57"/>
      <c r="E615" s="57"/>
      <c r="F615" s="57"/>
      <c r="G615" s="57"/>
      <c r="H615" s="65">
        <f t="shared" ref="H615:P615" si="295">ROUNDUP(H614*0.3,0)</f>
        <v>198</v>
      </c>
      <c r="I615" s="65">
        <f t="shared" si="295"/>
        <v>218</v>
      </c>
      <c r="J615" s="65">
        <f t="shared" si="295"/>
        <v>240</v>
      </c>
      <c r="K615" s="66">
        <f t="shared" si="295"/>
        <v>264</v>
      </c>
      <c r="L615" s="65">
        <f t="shared" si="295"/>
        <v>289</v>
      </c>
      <c r="M615" s="65">
        <f t="shared" si="295"/>
        <v>317</v>
      </c>
      <c r="N615" s="65">
        <f t="shared" si="295"/>
        <v>349</v>
      </c>
      <c r="O615" s="65">
        <f t="shared" si="295"/>
        <v>382</v>
      </c>
      <c r="P615" s="65">
        <f t="shared" si="295"/>
        <v>420</v>
      </c>
      <c r="Q615" s="57"/>
    </row>
    <row r="616">
      <c r="A616" s="60" t="s">
        <v>62</v>
      </c>
      <c r="B616" s="60" t="s">
        <v>471</v>
      </c>
      <c r="C616" s="57"/>
      <c r="D616" s="57"/>
      <c r="E616" s="57"/>
      <c r="F616" s="57"/>
      <c r="G616" s="57"/>
      <c r="H616" s="57"/>
      <c r="I616" s="57"/>
      <c r="J616" s="57"/>
      <c r="K616" s="63"/>
      <c r="L616" s="57"/>
      <c r="M616" s="57"/>
      <c r="N616" s="57"/>
      <c r="O616" s="57"/>
      <c r="P616" s="57"/>
      <c r="Q616" s="57"/>
    </row>
    <row r="617">
      <c r="A617" s="60" t="s">
        <v>80</v>
      </c>
      <c r="B617" s="60" t="s">
        <v>499</v>
      </c>
      <c r="C617" s="57"/>
      <c r="D617" s="57"/>
      <c r="E617" s="57"/>
      <c r="F617" s="57"/>
      <c r="G617" s="57"/>
      <c r="H617" s="57"/>
      <c r="I617" s="57"/>
      <c r="J617" s="57"/>
      <c r="K617" s="63"/>
      <c r="L617" s="57"/>
      <c r="M617" s="57"/>
      <c r="N617" s="57"/>
      <c r="O617" s="57"/>
      <c r="P617" s="57"/>
      <c r="Q617" s="57"/>
    </row>
    <row r="618">
      <c r="A618" s="60" t="s">
        <v>604</v>
      </c>
      <c r="B618" s="60" t="s">
        <v>605</v>
      </c>
      <c r="C618" s="57"/>
      <c r="D618" s="57"/>
      <c r="E618" s="57"/>
      <c r="F618" s="57"/>
      <c r="G618" s="57"/>
      <c r="H618" s="57"/>
      <c r="I618" s="57"/>
      <c r="J618" s="57"/>
      <c r="K618" s="63"/>
      <c r="L618" s="57"/>
      <c r="M618" s="57"/>
      <c r="N618" s="57"/>
      <c r="O618" s="57"/>
      <c r="P618" s="57"/>
      <c r="Q618" s="57"/>
    </row>
    <row r="619">
      <c r="A619" s="60" t="s">
        <v>422</v>
      </c>
      <c r="B619" s="60" t="s">
        <v>496</v>
      </c>
      <c r="C619" s="57"/>
      <c r="D619" s="57"/>
      <c r="E619" s="57"/>
      <c r="F619" s="57"/>
      <c r="G619" s="57"/>
      <c r="H619" s="57"/>
      <c r="I619" s="57"/>
      <c r="J619" s="57"/>
      <c r="K619" s="63"/>
      <c r="L619" s="57"/>
      <c r="M619" s="57"/>
      <c r="N619" s="57"/>
      <c r="O619" s="57"/>
      <c r="P619" s="57"/>
      <c r="Q619" s="57"/>
    </row>
    <row r="620">
      <c r="A620" s="60" t="s">
        <v>606</v>
      </c>
      <c r="B620" s="60" t="s">
        <v>607</v>
      </c>
      <c r="C620" s="65"/>
      <c r="D620" s="57"/>
      <c r="E620" s="57"/>
      <c r="F620" s="57"/>
      <c r="G620" s="57"/>
      <c r="H620" s="57"/>
      <c r="I620" s="57"/>
      <c r="J620" s="57"/>
      <c r="K620" s="63"/>
      <c r="L620" s="57"/>
      <c r="M620" s="57"/>
      <c r="N620" s="57"/>
      <c r="O620" s="57"/>
      <c r="P620" s="57"/>
      <c r="Q620" s="57"/>
    </row>
    <row r="621">
      <c r="A621" s="60" t="s">
        <v>63</v>
      </c>
      <c r="B621" s="60" t="s">
        <v>433</v>
      </c>
      <c r="C621" s="65"/>
      <c r="D621" s="57"/>
      <c r="E621" s="57"/>
      <c r="F621" s="57"/>
      <c r="G621" s="57"/>
      <c r="H621" s="57"/>
      <c r="I621" s="57"/>
      <c r="J621" s="57"/>
      <c r="K621" s="63"/>
      <c r="L621" s="57"/>
      <c r="M621" s="57"/>
      <c r="N621" s="57"/>
      <c r="O621" s="57"/>
      <c r="P621" s="57"/>
      <c r="Q621" s="57"/>
    </row>
    <row r="622">
      <c r="A622" s="60" t="s">
        <v>597</v>
      </c>
      <c r="B622" s="82">
        <v>-1.0</v>
      </c>
      <c r="C622" s="65"/>
      <c r="D622" s="57"/>
      <c r="E622" s="57"/>
      <c r="F622" s="57"/>
      <c r="G622" s="57"/>
      <c r="H622" s="57"/>
      <c r="I622" s="57"/>
      <c r="J622" s="57"/>
      <c r="K622" s="63"/>
      <c r="L622" s="57"/>
      <c r="M622" s="57"/>
      <c r="N622" s="57"/>
      <c r="O622" s="57"/>
      <c r="P622" s="57"/>
      <c r="Q622" s="57"/>
    </row>
    <row r="623">
      <c r="A623" s="60" t="s">
        <v>50</v>
      </c>
      <c r="B623" s="60" t="s">
        <v>425</v>
      </c>
      <c r="C623" s="57"/>
      <c r="D623" s="57"/>
      <c r="E623" s="57"/>
      <c r="F623" s="57"/>
      <c r="G623" s="57"/>
      <c r="H623" s="57"/>
      <c r="I623" s="57"/>
      <c r="J623" s="57"/>
      <c r="K623" s="63"/>
      <c r="L623" s="57"/>
      <c r="M623" s="57"/>
      <c r="N623" s="57"/>
      <c r="O623" s="57"/>
      <c r="P623" s="57"/>
      <c r="Q623" s="57"/>
    </row>
    <row r="624">
      <c r="A624" s="60" t="s">
        <v>446</v>
      </c>
      <c r="B624" s="60" t="s">
        <v>608</v>
      </c>
      <c r="C624" s="57"/>
      <c r="D624" s="57"/>
      <c r="E624" s="57"/>
      <c r="F624" s="57"/>
      <c r="G624" s="57"/>
      <c r="H624" s="57"/>
      <c r="I624" s="57"/>
      <c r="J624" s="57"/>
      <c r="K624" s="63"/>
      <c r="L624" s="57"/>
      <c r="M624" s="57"/>
      <c r="N624" s="57"/>
      <c r="O624" s="57"/>
      <c r="P624" s="57"/>
      <c r="Q624" s="57"/>
    </row>
    <row r="625">
      <c r="A625" s="76" t="s">
        <v>179</v>
      </c>
      <c r="B625" s="60" t="s">
        <v>550</v>
      </c>
      <c r="C625" s="57"/>
      <c r="D625" s="57"/>
      <c r="E625" s="57"/>
      <c r="F625" s="57"/>
      <c r="G625" s="57"/>
      <c r="H625" s="57"/>
      <c r="I625" s="57"/>
      <c r="J625" s="57"/>
      <c r="K625" s="63"/>
      <c r="L625" s="57"/>
      <c r="M625" s="57"/>
      <c r="N625" s="57"/>
      <c r="O625" s="57"/>
      <c r="P625" s="57"/>
      <c r="Q625" s="57"/>
    </row>
    <row r="626">
      <c r="A626" s="60" t="s">
        <v>38</v>
      </c>
      <c r="B626" s="26"/>
      <c r="C626" s="57"/>
      <c r="D626" s="57"/>
      <c r="E626" s="57"/>
      <c r="F626" s="57"/>
      <c r="G626" s="57"/>
      <c r="H626" s="65">
        <v>2350.0</v>
      </c>
      <c r="I626" s="57">
        <f t="shared" ref="I626:I627" si="296">ROUNDDOWN(H626*1.1,0)</f>
        <v>2585</v>
      </c>
      <c r="J626" s="57">
        <f t="shared" ref="J626:J627" si="297">ROUNDDOWN(H626*1.21,0)</f>
        <v>2843</v>
      </c>
      <c r="K626" s="63">
        <f t="shared" ref="K626:K627" si="298">ROUNDDOWN(H626*1.33,0)</f>
        <v>3125</v>
      </c>
      <c r="L626" s="57">
        <f t="shared" ref="L626:L627" si="299">ROUNDDOWN(H626*1.46,0)</f>
        <v>3431</v>
      </c>
      <c r="M626" s="57">
        <f t="shared" ref="M626:M627" si="300">ROUNDDOWN(H626*1.6,0)</f>
        <v>3760</v>
      </c>
      <c r="N626" s="57">
        <f t="shared" ref="N626:N627" si="301">ROUNDDOWN(H626*1.76,0)</f>
        <v>4136</v>
      </c>
      <c r="O626" s="57">
        <f t="shared" ref="O626:O627" si="302">ROUNDDOWN(H626*1.93,0)</f>
        <v>4535</v>
      </c>
      <c r="P626" s="57">
        <f t="shared" ref="P626:P627" si="303">ROUNDDOWN(H626*2.12,0)</f>
        <v>4982</v>
      </c>
      <c r="Q626" s="57"/>
    </row>
    <row r="627">
      <c r="A627" s="60" t="s">
        <v>24</v>
      </c>
      <c r="B627" s="26"/>
      <c r="C627" s="57"/>
      <c r="D627" s="57"/>
      <c r="E627" s="57"/>
      <c r="F627" s="57"/>
      <c r="G627" s="57"/>
      <c r="H627" s="65">
        <v>510.0</v>
      </c>
      <c r="I627" s="57">
        <f t="shared" si="296"/>
        <v>561</v>
      </c>
      <c r="J627" s="57">
        <f t="shared" si="297"/>
        <v>617</v>
      </c>
      <c r="K627" s="63">
        <f t="shared" si="298"/>
        <v>678</v>
      </c>
      <c r="L627" s="57">
        <f t="shared" si="299"/>
        <v>744</v>
      </c>
      <c r="M627" s="57">
        <f t="shared" si="300"/>
        <v>816</v>
      </c>
      <c r="N627" s="57">
        <f t="shared" si="301"/>
        <v>897</v>
      </c>
      <c r="O627" s="57">
        <f t="shared" si="302"/>
        <v>984</v>
      </c>
      <c r="P627" s="57">
        <f t="shared" si="303"/>
        <v>1081</v>
      </c>
      <c r="Q627" s="57"/>
    </row>
    <row r="628">
      <c r="A628" s="60" t="s">
        <v>428</v>
      </c>
      <c r="B628" s="60" t="s">
        <v>456</v>
      </c>
      <c r="C628" s="57"/>
      <c r="D628" s="57"/>
      <c r="E628" s="57"/>
      <c r="F628" s="57"/>
      <c r="G628" s="57"/>
      <c r="H628" s="57"/>
      <c r="I628" s="57"/>
      <c r="J628" s="57"/>
      <c r="K628" s="63"/>
      <c r="L628" s="57"/>
      <c r="M628" s="57"/>
      <c r="N628" s="57"/>
      <c r="O628" s="57"/>
      <c r="P628" s="57"/>
      <c r="Q628" s="57"/>
    </row>
    <row r="629">
      <c r="A629" s="60" t="s">
        <v>55</v>
      </c>
      <c r="B629" s="60" t="s">
        <v>430</v>
      </c>
      <c r="C629" s="57"/>
      <c r="D629" s="57"/>
      <c r="E629" s="57"/>
      <c r="F629" s="57"/>
      <c r="G629" s="57"/>
      <c r="H629" s="57"/>
      <c r="I629" s="57"/>
      <c r="J629" s="57"/>
      <c r="K629" s="63"/>
      <c r="L629" s="57"/>
      <c r="M629" s="57"/>
      <c r="N629" s="57"/>
      <c r="O629" s="57"/>
      <c r="P629" s="57"/>
      <c r="Q629" s="57"/>
    </row>
    <row r="630">
      <c r="A630" s="60" t="s">
        <v>51</v>
      </c>
      <c r="B630" s="60" t="s">
        <v>470</v>
      </c>
      <c r="C630" s="57"/>
      <c r="D630" s="57"/>
      <c r="E630" s="57"/>
      <c r="F630" s="57"/>
      <c r="G630" s="57"/>
      <c r="H630" s="57"/>
      <c r="I630" s="57"/>
      <c r="J630" s="57"/>
      <c r="K630" s="63"/>
      <c r="L630" s="57"/>
      <c r="M630" s="57"/>
      <c r="N630" s="57"/>
      <c r="O630" s="57"/>
      <c r="P630" s="57"/>
      <c r="Q630" s="57"/>
    </row>
    <row r="631">
      <c r="A631" s="60" t="s">
        <v>49</v>
      </c>
      <c r="B631" s="60" t="s">
        <v>533</v>
      </c>
      <c r="C631" s="57"/>
      <c r="D631" s="57"/>
      <c r="E631" s="57"/>
      <c r="F631" s="57"/>
      <c r="G631" s="57"/>
      <c r="H631" s="57"/>
      <c r="I631" s="57"/>
      <c r="J631" s="57"/>
      <c r="K631" s="63"/>
      <c r="L631" s="57"/>
      <c r="M631" s="57"/>
      <c r="N631" s="57"/>
      <c r="O631" s="57"/>
      <c r="P631" s="57"/>
      <c r="Q631" s="57"/>
    </row>
    <row r="632">
      <c r="A632" s="60" t="s">
        <v>432</v>
      </c>
      <c r="B632" s="60" t="s">
        <v>609</v>
      </c>
      <c r="C632" s="57"/>
      <c r="D632" s="57"/>
      <c r="E632" s="57"/>
      <c r="F632" s="57"/>
      <c r="G632" s="57"/>
      <c r="H632" s="57"/>
      <c r="I632" s="57"/>
      <c r="J632" s="57"/>
      <c r="K632" s="63"/>
      <c r="L632" s="57"/>
      <c r="M632" s="57"/>
      <c r="N632" s="57"/>
      <c r="O632" s="57"/>
      <c r="P632" s="57"/>
      <c r="Q632" s="57"/>
    </row>
    <row r="633">
      <c r="A633" s="60" t="s">
        <v>53</v>
      </c>
      <c r="B633" s="60" t="s">
        <v>458</v>
      </c>
      <c r="C633" s="65"/>
      <c r="D633" s="57"/>
      <c r="E633" s="57"/>
      <c r="F633" s="57"/>
      <c r="G633" s="57"/>
      <c r="H633" s="57"/>
      <c r="I633" s="57"/>
      <c r="J633" s="57"/>
      <c r="K633" s="63"/>
      <c r="L633" s="57"/>
      <c r="M633" s="57"/>
      <c r="N633" s="57"/>
      <c r="O633" s="57"/>
      <c r="P633" s="57"/>
      <c r="Q633" s="57"/>
    </row>
    <row r="634">
      <c r="A634" s="60" t="s">
        <v>50</v>
      </c>
      <c r="B634" s="60" t="s">
        <v>98</v>
      </c>
      <c r="C634" s="65"/>
      <c r="D634" s="57"/>
      <c r="E634" s="57"/>
      <c r="F634" s="57"/>
      <c r="G634" s="57"/>
      <c r="H634" s="57"/>
      <c r="I634" s="57"/>
      <c r="J634" s="57"/>
      <c r="K634" s="63"/>
      <c r="L634" s="57"/>
      <c r="M634" s="57"/>
      <c r="N634" s="57"/>
      <c r="O634" s="57"/>
      <c r="P634" s="57"/>
      <c r="Q634" s="57"/>
    </row>
    <row r="635">
      <c r="A635" s="60" t="s">
        <v>438</v>
      </c>
      <c r="B635" s="60" t="s">
        <v>472</v>
      </c>
      <c r="C635" s="65"/>
      <c r="D635" s="57"/>
      <c r="E635" s="57"/>
      <c r="F635" s="57"/>
      <c r="G635" s="57"/>
      <c r="H635" s="57"/>
      <c r="I635" s="57"/>
      <c r="J635" s="57"/>
      <c r="K635" s="63"/>
      <c r="L635" s="57"/>
      <c r="M635" s="57"/>
      <c r="N635" s="57"/>
      <c r="O635" s="57"/>
      <c r="P635" s="57"/>
      <c r="Q635" s="57"/>
    </row>
    <row r="636">
      <c r="A636" s="60" t="s">
        <v>439</v>
      </c>
      <c r="B636" s="60" t="s">
        <v>473</v>
      </c>
      <c r="C636" s="65"/>
      <c r="D636" s="57"/>
      <c r="E636" s="57"/>
      <c r="F636" s="57"/>
      <c r="G636" s="57"/>
      <c r="H636" s="57"/>
      <c r="I636" s="57"/>
      <c r="J636" s="57"/>
      <c r="K636" s="63"/>
      <c r="L636" s="57"/>
      <c r="M636" s="57"/>
      <c r="N636" s="57"/>
      <c r="O636" s="57"/>
      <c r="P636" s="57"/>
      <c r="Q636" s="57"/>
    </row>
    <row r="637">
      <c r="A637" s="60" t="s">
        <v>441</v>
      </c>
      <c r="B637" s="60">
        <v>18.0</v>
      </c>
      <c r="C637" s="65"/>
      <c r="D637" s="57"/>
      <c r="E637" s="57"/>
      <c r="F637" s="57"/>
      <c r="G637" s="57"/>
      <c r="H637" s="57"/>
      <c r="I637" s="57"/>
      <c r="J637" s="57"/>
      <c r="K637" s="63"/>
      <c r="L637" s="57"/>
      <c r="M637" s="57"/>
      <c r="N637" s="57"/>
      <c r="O637" s="57"/>
      <c r="P637" s="57"/>
      <c r="Q637" s="57"/>
    </row>
    <row r="638">
      <c r="A638" s="60" t="s">
        <v>444</v>
      </c>
      <c r="B638" s="60" t="s">
        <v>445</v>
      </c>
      <c r="C638" s="65"/>
      <c r="D638" s="57"/>
      <c r="E638" s="57"/>
      <c r="F638" s="57"/>
      <c r="G638" s="57"/>
      <c r="H638" s="57"/>
      <c r="I638" s="57"/>
      <c r="J638" s="57"/>
      <c r="K638" s="63"/>
      <c r="L638" s="57"/>
      <c r="M638" s="57"/>
      <c r="N638" s="57"/>
      <c r="O638" s="57"/>
      <c r="P638" s="57"/>
      <c r="Q638" s="57"/>
    </row>
    <row r="639">
      <c r="A639" s="60" t="s">
        <v>446</v>
      </c>
      <c r="B639" s="60" t="s">
        <v>445</v>
      </c>
      <c r="C639" s="65"/>
      <c r="D639" s="57"/>
      <c r="E639" s="57"/>
      <c r="F639" s="57"/>
      <c r="G639" s="57"/>
      <c r="H639" s="57"/>
      <c r="I639" s="57"/>
      <c r="J639" s="57"/>
      <c r="K639" s="63"/>
      <c r="L639" s="57"/>
      <c r="M639" s="57"/>
      <c r="N639" s="57"/>
      <c r="O639" s="57"/>
      <c r="P639" s="57"/>
      <c r="Q639" s="57"/>
    </row>
    <row r="640">
      <c r="A640" s="83" t="s">
        <v>180</v>
      </c>
      <c r="B640" s="60" t="s">
        <v>416</v>
      </c>
      <c r="C640" s="57"/>
      <c r="D640" s="57"/>
      <c r="E640" s="57"/>
      <c r="F640" s="57"/>
      <c r="G640" s="57"/>
      <c r="H640" s="57"/>
      <c r="I640" s="57"/>
      <c r="J640" s="57"/>
      <c r="K640" s="63"/>
      <c r="L640" s="57"/>
      <c r="M640" s="57"/>
      <c r="N640" s="57"/>
      <c r="O640" s="57"/>
      <c r="P640" s="57"/>
      <c r="Q640" s="57"/>
    </row>
    <row r="641">
      <c r="A641" s="60" t="s">
        <v>38</v>
      </c>
      <c r="B641" s="26"/>
      <c r="C641" s="57"/>
      <c r="D641" s="57"/>
      <c r="E641" s="57"/>
      <c r="F641" s="57"/>
      <c r="G641" s="57"/>
      <c r="H641" s="57"/>
      <c r="I641" s="57"/>
      <c r="J641" s="57"/>
      <c r="K641" s="66">
        <v>1000.0</v>
      </c>
      <c r="L641" s="57">
        <f t="shared" ref="L641:L642" si="304">ROUNDDOWN(K641*1.1,0)</f>
        <v>1100</v>
      </c>
      <c r="M641" s="57">
        <f t="shared" ref="M641:M642" si="305">ROUNDDOWN(K641*1.21,0)</f>
        <v>1210</v>
      </c>
      <c r="N641" s="57">
        <f t="shared" ref="N641:N642" si="306">ROUNDDOWN(K641*1.33,0)</f>
        <v>1330</v>
      </c>
      <c r="O641" s="57">
        <f t="shared" ref="O641:O642" si="307">ROUNDDOWN(K641*1.46,0)</f>
        <v>1460</v>
      </c>
      <c r="P641" s="57">
        <f t="shared" ref="P641:P642" si="308">ROUNDDOWN(K641*1.57,0)</f>
        <v>1570</v>
      </c>
      <c r="Q641" s="57"/>
    </row>
    <row r="642">
      <c r="A642" s="60" t="s">
        <v>24</v>
      </c>
      <c r="B642" s="26"/>
      <c r="C642" s="57"/>
      <c r="D642" s="57"/>
      <c r="E642" s="57"/>
      <c r="F642" s="57"/>
      <c r="G642" s="57"/>
      <c r="H642" s="57"/>
      <c r="I642" s="57"/>
      <c r="J642" s="57"/>
      <c r="K642" s="66">
        <v>160.0</v>
      </c>
      <c r="L642" s="57">
        <f t="shared" si="304"/>
        <v>176</v>
      </c>
      <c r="M642" s="57">
        <f t="shared" si="305"/>
        <v>193</v>
      </c>
      <c r="N642" s="57">
        <f t="shared" si="306"/>
        <v>212</v>
      </c>
      <c r="O642" s="57">
        <f t="shared" si="307"/>
        <v>233</v>
      </c>
      <c r="P642" s="57">
        <f t="shared" si="308"/>
        <v>251</v>
      </c>
      <c r="Q642" s="57"/>
    </row>
    <row r="643">
      <c r="A643" s="60" t="s">
        <v>31</v>
      </c>
      <c r="B643" s="26"/>
      <c r="C643" s="57"/>
      <c r="D643" s="57"/>
      <c r="E643" s="57"/>
      <c r="F643" s="57"/>
      <c r="G643" s="57"/>
      <c r="H643" s="57"/>
      <c r="I643" s="57"/>
      <c r="J643" s="57"/>
      <c r="K643" s="66">
        <f t="shared" ref="K643:P643" si="309">ROUNDUP(K642*0.3,0)</f>
        <v>48</v>
      </c>
      <c r="L643" s="65">
        <f t="shared" si="309"/>
        <v>53</v>
      </c>
      <c r="M643" s="65">
        <f t="shared" si="309"/>
        <v>58</v>
      </c>
      <c r="N643" s="65">
        <f t="shared" si="309"/>
        <v>64</v>
      </c>
      <c r="O643" s="65">
        <f t="shared" si="309"/>
        <v>70</v>
      </c>
      <c r="P643" s="65">
        <f t="shared" si="309"/>
        <v>76</v>
      </c>
      <c r="Q643" s="57"/>
    </row>
    <row r="644">
      <c r="A644" s="60" t="s">
        <v>428</v>
      </c>
      <c r="B644" s="60" t="s">
        <v>429</v>
      </c>
      <c r="C644" s="57"/>
      <c r="D644" s="57"/>
      <c r="E644" s="57"/>
      <c r="F644" s="57"/>
      <c r="G644" s="57"/>
      <c r="H644" s="57"/>
      <c r="I644" s="57"/>
      <c r="J644" s="57"/>
      <c r="K644" s="63"/>
      <c r="L644" s="57"/>
      <c r="M644" s="57"/>
      <c r="N644" s="57"/>
      <c r="O644" s="57"/>
      <c r="P644" s="57"/>
      <c r="Q644" s="57"/>
    </row>
    <row r="645">
      <c r="A645" s="60" t="s">
        <v>55</v>
      </c>
      <c r="B645" s="60" t="s">
        <v>430</v>
      </c>
      <c r="C645" s="57"/>
      <c r="D645" s="57"/>
      <c r="E645" s="57"/>
      <c r="F645" s="57"/>
      <c r="G645" s="57"/>
      <c r="H645" s="57"/>
      <c r="I645" s="57"/>
      <c r="J645" s="57"/>
      <c r="K645" s="63"/>
      <c r="L645" s="57"/>
      <c r="M645" s="57"/>
      <c r="N645" s="57"/>
      <c r="O645" s="57"/>
      <c r="P645" s="57"/>
      <c r="Q645" s="57"/>
    </row>
    <row r="646">
      <c r="A646" s="60" t="s">
        <v>51</v>
      </c>
      <c r="B646" s="60" t="s">
        <v>431</v>
      </c>
      <c r="C646" s="57"/>
      <c r="D646" s="57"/>
      <c r="E646" s="57"/>
      <c r="F646" s="57"/>
      <c r="G646" s="57"/>
      <c r="H646" s="57"/>
      <c r="I646" s="57"/>
      <c r="J646" s="57"/>
      <c r="K646" s="63"/>
      <c r="L646" s="57"/>
      <c r="M646" s="57"/>
      <c r="N646" s="57"/>
      <c r="O646" s="57"/>
      <c r="P646" s="57"/>
      <c r="Q646" s="57"/>
    </row>
    <row r="647">
      <c r="A647" s="60" t="s">
        <v>49</v>
      </c>
      <c r="B647" s="60" t="s">
        <v>452</v>
      </c>
      <c r="C647" s="57"/>
      <c r="D647" s="57"/>
      <c r="E647" s="57"/>
      <c r="F647" s="57"/>
      <c r="G647" s="57"/>
      <c r="H647" s="57"/>
      <c r="I647" s="57"/>
      <c r="J647" s="57"/>
      <c r="K647" s="63"/>
      <c r="L647" s="57"/>
      <c r="M647" s="57"/>
      <c r="N647" s="57"/>
      <c r="O647" s="57"/>
      <c r="P647" s="57"/>
      <c r="Q647" s="57"/>
    </row>
    <row r="648">
      <c r="A648" s="60" t="s">
        <v>432</v>
      </c>
      <c r="B648" s="60" t="s">
        <v>457</v>
      </c>
      <c r="C648" s="57"/>
      <c r="D648" s="57"/>
      <c r="E648" s="57"/>
      <c r="F648" s="57"/>
      <c r="G648" s="57"/>
      <c r="H648" s="57"/>
      <c r="I648" s="57"/>
      <c r="J648" s="57"/>
      <c r="K648" s="63"/>
      <c r="L648" s="57"/>
      <c r="M648" s="57"/>
      <c r="N648" s="57"/>
      <c r="O648" s="57"/>
      <c r="P648" s="57"/>
      <c r="Q648" s="57"/>
    </row>
    <row r="649">
      <c r="A649" s="60" t="s">
        <v>53</v>
      </c>
      <c r="B649" s="60" t="s">
        <v>458</v>
      </c>
      <c r="C649" s="57"/>
      <c r="D649" s="57"/>
      <c r="E649" s="57"/>
      <c r="F649" s="57"/>
      <c r="G649" s="57"/>
      <c r="H649" s="57"/>
      <c r="I649" s="57"/>
      <c r="J649" s="57"/>
      <c r="K649" s="63"/>
      <c r="L649" s="57"/>
      <c r="M649" s="57"/>
      <c r="N649" s="57"/>
      <c r="O649" s="57"/>
      <c r="P649" s="57"/>
      <c r="Q649" s="57"/>
    </row>
    <row r="650">
      <c r="A650" s="60" t="s">
        <v>50</v>
      </c>
      <c r="B650" s="60" t="s">
        <v>98</v>
      </c>
      <c r="C650" s="57"/>
      <c r="D650" s="57"/>
      <c r="E650" s="57"/>
      <c r="F650" s="57"/>
      <c r="G650" s="57"/>
      <c r="H650" s="57"/>
      <c r="I650" s="57"/>
      <c r="J650" s="57"/>
      <c r="K650" s="63"/>
      <c r="L650" s="57"/>
      <c r="M650" s="57"/>
      <c r="N650" s="57"/>
      <c r="O650" s="57"/>
      <c r="P650" s="57"/>
      <c r="Q650" s="57"/>
    </row>
    <row r="651">
      <c r="A651" s="60" t="s">
        <v>438</v>
      </c>
      <c r="B651" s="60" t="s">
        <v>436</v>
      </c>
      <c r="C651" s="57"/>
      <c r="D651" s="57"/>
      <c r="E651" s="57"/>
      <c r="F651" s="57"/>
      <c r="G651" s="57"/>
      <c r="H651" s="57"/>
      <c r="I651" s="57"/>
      <c r="J651" s="57"/>
      <c r="K651" s="63"/>
      <c r="L651" s="57"/>
      <c r="M651" s="57"/>
      <c r="N651" s="57"/>
      <c r="O651" s="57"/>
      <c r="P651" s="57"/>
      <c r="Q651" s="57"/>
    </row>
    <row r="652">
      <c r="A652" s="60" t="s">
        <v>439</v>
      </c>
      <c r="B652" s="60" t="s">
        <v>440</v>
      </c>
      <c r="C652" s="57"/>
      <c r="D652" s="57"/>
      <c r="E652" s="57"/>
      <c r="F652" s="57"/>
      <c r="G652" s="57"/>
      <c r="H652" s="57"/>
      <c r="I652" s="57"/>
      <c r="J652" s="57"/>
      <c r="K652" s="63"/>
      <c r="L652" s="57"/>
      <c r="M652" s="57"/>
      <c r="N652" s="57"/>
      <c r="O652" s="57"/>
      <c r="P652" s="57"/>
      <c r="Q652" s="57"/>
    </row>
    <row r="653">
      <c r="A653" s="60" t="s">
        <v>441</v>
      </c>
      <c r="B653" s="60">
        <v>6.0</v>
      </c>
      <c r="C653" s="57"/>
      <c r="D653" s="57"/>
      <c r="E653" s="57"/>
      <c r="F653" s="57"/>
      <c r="G653" s="57"/>
      <c r="H653" s="57"/>
      <c r="I653" s="57"/>
      <c r="J653" s="57"/>
      <c r="K653" s="63"/>
      <c r="L653" s="57"/>
      <c r="M653" s="57"/>
      <c r="N653" s="57"/>
      <c r="O653" s="57"/>
      <c r="P653" s="57"/>
      <c r="Q653" s="57"/>
    </row>
    <row r="654">
      <c r="A654" s="60" t="s">
        <v>610</v>
      </c>
      <c r="B654" s="60" t="s">
        <v>611</v>
      </c>
      <c r="C654" s="57"/>
      <c r="D654" s="57"/>
      <c r="E654" s="57"/>
      <c r="F654" s="57"/>
      <c r="G654" s="57"/>
      <c r="H654" s="57"/>
      <c r="I654" s="57"/>
      <c r="J654" s="57"/>
      <c r="K654" s="63"/>
      <c r="L654" s="57"/>
      <c r="M654" s="57"/>
      <c r="N654" s="57"/>
      <c r="O654" s="57"/>
      <c r="P654" s="57"/>
      <c r="Q654" s="57"/>
    </row>
    <row r="655">
      <c r="A655" s="60" t="s">
        <v>444</v>
      </c>
      <c r="B655" s="60" t="s">
        <v>445</v>
      </c>
      <c r="C655" s="57"/>
      <c r="D655" s="57"/>
      <c r="E655" s="57"/>
      <c r="F655" s="57"/>
      <c r="G655" s="57"/>
      <c r="H655" s="57"/>
      <c r="I655" s="57"/>
      <c r="J655" s="57"/>
      <c r="K655" s="63"/>
      <c r="L655" s="57"/>
      <c r="M655" s="57"/>
      <c r="N655" s="57"/>
      <c r="O655" s="57"/>
      <c r="P655" s="57"/>
      <c r="Q655" s="57"/>
    </row>
    <row r="656">
      <c r="A656" s="60" t="s">
        <v>446</v>
      </c>
      <c r="B656" s="60" t="s">
        <v>445</v>
      </c>
      <c r="C656" s="57"/>
      <c r="D656" s="57"/>
      <c r="E656" s="57"/>
      <c r="F656" s="57"/>
      <c r="G656" s="57"/>
      <c r="H656" s="57"/>
      <c r="I656" s="57"/>
      <c r="J656" s="57"/>
      <c r="K656" s="63"/>
      <c r="L656" s="57"/>
      <c r="M656" s="57"/>
      <c r="N656" s="57"/>
      <c r="O656" s="57"/>
      <c r="P656" s="57"/>
      <c r="Q656" s="57"/>
    </row>
    <row r="657">
      <c r="A657" s="83" t="s">
        <v>278</v>
      </c>
      <c r="B657" s="60" t="s">
        <v>550</v>
      </c>
      <c r="C657" s="57"/>
      <c r="D657" s="57"/>
      <c r="E657" s="57"/>
      <c r="F657" s="57"/>
      <c r="G657" s="57"/>
      <c r="H657" s="57"/>
      <c r="I657" s="57"/>
      <c r="J657" s="57"/>
      <c r="K657" s="63"/>
      <c r="L657" s="57"/>
      <c r="M657" s="57"/>
      <c r="N657" s="57"/>
      <c r="O657" s="57"/>
      <c r="P657" s="57"/>
      <c r="Q657" s="57"/>
    </row>
    <row r="658">
      <c r="A658" s="60" t="s">
        <v>38</v>
      </c>
      <c r="B658" s="26"/>
      <c r="C658" s="57"/>
      <c r="D658" s="57"/>
      <c r="E658" s="57"/>
      <c r="F658" s="57"/>
      <c r="G658" s="57"/>
      <c r="H658" s="57"/>
      <c r="I658" s="57"/>
      <c r="J658" s="57"/>
      <c r="K658" s="66">
        <v>3150.0</v>
      </c>
      <c r="L658" s="57">
        <f t="shared" ref="L658:L661" si="310">ROUNDDOWN(K658*1.1,0)</f>
        <v>3465</v>
      </c>
      <c r="M658" s="57">
        <f t="shared" ref="M658:M661" si="311">ROUNDDOWN(K658*1.21,0)</f>
        <v>3811</v>
      </c>
      <c r="N658" s="57">
        <f t="shared" ref="N658:N661" si="312">ROUNDDOWN(K658*1.33,0)</f>
        <v>4189</v>
      </c>
      <c r="O658" s="57">
        <f t="shared" ref="O658:O661" si="313">ROUNDDOWN(K658*1.46,0)</f>
        <v>4599</v>
      </c>
      <c r="P658" s="57">
        <f t="shared" ref="P658:P661" si="314">ROUNDDOWN(K658*1.57,0)</f>
        <v>4945</v>
      </c>
      <c r="Q658" s="57"/>
    </row>
    <row r="659">
      <c r="A659" s="60" t="s">
        <v>24</v>
      </c>
      <c r="B659" s="60"/>
      <c r="C659" s="57"/>
      <c r="D659" s="57"/>
      <c r="E659" s="57"/>
      <c r="F659" s="57"/>
      <c r="G659" s="57"/>
      <c r="H659" s="57"/>
      <c r="I659" s="57"/>
      <c r="J659" s="57"/>
      <c r="K659" s="66">
        <v>45.0</v>
      </c>
      <c r="L659" s="57">
        <f t="shared" si="310"/>
        <v>49</v>
      </c>
      <c r="M659" s="57">
        <f t="shared" si="311"/>
        <v>54</v>
      </c>
      <c r="N659" s="57">
        <f t="shared" si="312"/>
        <v>59</v>
      </c>
      <c r="O659" s="57">
        <f t="shared" si="313"/>
        <v>65</v>
      </c>
      <c r="P659" s="57">
        <f t="shared" si="314"/>
        <v>70</v>
      </c>
      <c r="Q659" s="57"/>
    </row>
    <row r="660">
      <c r="A660" s="60" t="s">
        <v>612</v>
      </c>
      <c r="B660" s="26"/>
      <c r="C660" s="57"/>
      <c r="D660" s="57"/>
      <c r="E660" s="57"/>
      <c r="F660" s="57"/>
      <c r="G660" s="57"/>
      <c r="H660" s="57"/>
      <c r="I660" s="57"/>
      <c r="J660" s="57"/>
      <c r="K660" s="66">
        <v>179.0</v>
      </c>
      <c r="L660" s="57">
        <f t="shared" si="310"/>
        <v>196</v>
      </c>
      <c r="M660" s="57">
        <f t="shared" si="311"/>
        <v>216</v>
      </c>
      <c r="N660" s="57">
        <f t="shared" si="312"/>
        <v>238</v>
      </c>
      <c r="O660" s="57">
        <f t="shared" si="313"/>
        <v>261</v>
      </c>
      <c r="P660" s="57">
        <f t="shared" si="314"/>
        <v>281</v>
      </c>
      <c r="Q660" s="57"/>
    </row>
    <row r="661">
      <c r="A661" s="60" t="s">
        <v>613</v>
      </c>
      <c r="B661" s="60"/>
      <c r="C661" s="57"/>
      <c r="D661" s="57"/>
      <c r="E661" s="57"/>
      <c r="F661" s="57"/>
      <c r="G661" s="57"/>
      <c r="H661" s="57"/>
      <c r="I661" s="57"/>
      <c r="J661" s="57"/>
      <c r="K661" s="66">
        <v>75.0</v>
      </c>
      <c r="L661" s="57">
        <f t="shared" si="310"/>
        <v>82</v>
      </c>
      <c r="M661" s="57">
        <f t="shared" si="311"/>
        <v>90</v>
      </c>
      <c r="N661" s="57">
        <f t="shared" si="312"/>
        <v>99</v>
      </c>
      <c r="O661" s="57">
        <f t="shared" si="313"/>
        <v>109</v>
      </c>
      <c r="P661" s="57">
        <f t="shared" si="314"/>
        <v>117</v>
      </c>
      <c r="Q661" s="57"/>
    </row>
    <row r="662">
      <c r="A662" s="60" t="s">
        <v>428</v>
      </c>
      <c r="B662" s="60" t="s">
        <v>429</v>
      </c>
      <c r="C662" s="57"/>
      <c r="D662" s="57"/>
      <c r="E662" s="57"/>
      <c r="F662" s="57"/>
      <c r="G662" s="57"/>
      <c r="H662" s="57"/>
      <c r="I662" s="57"/>
      <c r="J662" s="57"/>
      <c r="K662" s="63"/>
      <c r="L662" s="57"/>
      <c r="M662" s="57"/>
      <c r="N662" s="57"/>
      <c r="O662" s="57"/>
      <c r="P662" s="57"/>
      <c r="Q662" s="57"/>
    </row>
    <row r="663">
      <c r="A663" s="60" t="s">
        <v>55</v>
      </c>
      <c r="B663" s="60" t="s">
        <v>430</v>
      </c>
      <c r="C663" s="57"/>
      <c r="D663" s="57"/>
      <c r="E663" s="57"/>
      <c r="F663" s="57"/>
      <c r="G663" s="57"/>
      <c r="H663" s="57"/>
      <c r="I663" s="57"/>
      <c r="J663" s="57"/>
      <c r="K663" s="63"/>
      <c r="L663" s="57"/>
      <c r="M663" s="57"/>
      <c r="N663" s="57"/>
      <c r="O663" s="57"/>
      <c r="P663" s="57"/>
      <c r="Q663" s="57"/>
    </row>
    <row r="664">
      <c r="A664" s="60" t="s">
        <v>51</v>
      </c>
      <c r="B664" s="60" t="s">
        <v>470</v>
      </c>
      <c r="C664" s="57"/>
      <c r="D664" s="57"/>
      <c r="E664" s="57"/>
      <c r="F664" s="57"/>
      <c r="G664" s="57"/>
      <c r="H664" s="57"/>
      <c r="I664" s="57"/>
      <c r="J664" s="57"/>
      <c r="K664" s="63"/>
      <c r="L664" s="57"/>
      <c r="M664" s="57"/>
      <c r="N664" s="57"/>
      <c r="O664" s="57"/>
      <c r="P664" s="57"/>
      <c r="Q664" s="57"/>
    </row>
    <row r="665">
      <c r="A665" s="60" t="s">
        <v>49</v>
      </c>
      <c r="B665" s="60" t="s">
        <v>609</v>
      </c>
      <c r="C665" s="57"/>
      <c r="D665" s="57"/>
      <c r="E665" s="57"/>
      <c r="F665" s="57"/>
      <c r="G665" s="57"/>
      <c r="H665" s="57"/>
      <c r="I665" s="57"/>
      <c r="J665" s="57"/>
      <c r="K665" s="63"/>
      <c r="L665" s="57"/>
      <c r="M665" s="57"/>
      <c r="N665" s="57"/>
      <c r="O665" s="57"/>
      <c r="P665" s="57"/>
      <c r="Q665" s="57"/>
    </row>
    <row r="666">
      <c r="A666" s="60" t="s">
        <v>432</v>
      </c>
      <c r="B666" s="60" t="s">
        <v>466</v>
      </c>
      <c r="C666" s="57"/>
      <c r="D666" s="57"/>
      <c r="E666" s="57"/>
      <c r="F666" s="57"/>
      <c r="G666" s="57"/>
      <c r="H666" s="57"/>
      <c r="I666" s="57"/>
      <c r="J666" s="57"/>
      <c r="K666" s="63"/>
      <c r="L666" s="57"/>
      <c r="M666" s="57"/>
      <c r="N666" s="57"/>
      <c r="O666" s="57"/>
      <c r="P666" s="57"/>
      <c r="Q666" s="57"/>
    </row>
    <row r="667">
      <c r="A667" s="60" t="s">
        <v>422</v>
      </c>
      <c r="B667" s="60" t="s">
        <v>517</v>
      </c>
      <c r="C667" s="57"/>
      <c r="D667" s="57"/>
      <c r="E667" s="57"/>
      <c r="F667" s="57"/>
      <c r="G667" s="57"/>
      <c r="H667" s="57"/>
      <c r="I667" s="57"/>
      <c r="J667" s="57"/>
      <c r="K667" s="63"/>
      <c r="L667" s="57"/>
      <c r="M667" s="57"/>
      <c r="N667" s="57"/>
      <c r="O667" s="57"/>
      <c r="P667" s="57"/>
      <c r="Q667" s="57"/>
    </row>
    <row r="668">
      <c r="A668" s="60" t="s">
        <v>435</v>
      </c>
      <c r="B668" s="60" t="s">
        <v>436</v>
      </c>
      <c r="C668" s="57"/>
      <c r="D668" s="57"/>
      <c r="E668" s="57"/>
      <c r="F668" s="57"/>
      <c r="G668" s="57"/>
      <c r="H668" s="57"/>
      <c r="I668" s="57"/>
      <c r="J668" s="57"/>
      <c r="K668" s="63"/>
      <c r="L668" s="57"/>
      <c r="M668" s="57"/>
      <c r="N668" s="57"/>
      <c r="O668" s="57"/>
      <c r="P668" s="57"/>
      <c r="Q668" s="57"/>
    </row>
    <row r="669">
      <c r="A669" s="60" t="s">
        <v>426</v>
      </c>
      <c r="B669" s="60" t="s">
        <v>497</v>
      </c>
      <c r="C669" s="57"/>
      <c r="D669" s="57"/>
      <c r="E669" s="57"/>
      <c r="F669" s="57"/>
      <c r="G669" s="57"/>
      <c r="H669" s="57"/>
      <c r="I669" s="57"/>
      <c r="J669" s="57"/>
      <c r="K669" s="63"/>
      <c r="L669" s="57"/>
      <c r="M669" s="57"/>
      <c r="N669" s="57"/>
      <c r="O669" s="57"/>
      <c r="P669" s="57"/>
      <c r="Q669" s="57"/>
    </row>
    <row r="670">
      <c r="A670" s="60" t="s">
        <v>53</v>
      </c>
      <c r="B670" s="60" t="s">
        <v>499</v>
      </c>
      <c r="C670" s="57"/>
      <c r="D670" s="57"/>
      <c r="E670" s="57"/>
      <c r="F670" s="57"/>
      <c r="G670" s="57"/>
      <c r="H670" s="57"/>
      <c r="I670" s="57"/>
      <c r="J670" s="57"/>
      <c r="K670" s="63"/>
      <c r="L670" s="57"/>
      <c r="M670" s="57"/>
      <c r="N670" s="57"/>
      <c r="O670" s="57"/>
      <c r="P670" s="57"/>
      <c r="Q670" s="57"/>
    </row>
    <row r="671">
      <c r="A671" s="60" t="s">
        <v>50</v>
      </c>
      <c r="B671" s="60" t="s">
        <v>109</v>
      </c>
      <c r="C671" s="57"/>
      <c r="D671" s="57"/>
      <c r="E671" s="57"/>
      <c r="F671" s="57"/>
      <c r="G671" s="57"/>
      <c r="H671" s="57"/>
      <c r="I671" s="57"/>
      <c r="J671" s="57"/>
      <c r="K671" s="63"/>
      <c r="L671" s="57"/>
      <c r="M671" s="57"/>
      <c r="N671" s="57"/>
      <c r="O671" s="57"/>
      <c r="P671" s="57"/>
      <c r="Q671" s="57"/>
    </row>
    <row r="672">
      <c r="A672" s="60" t="s">
        <v>438</v>
      </c>
      <c r="B672" s="60" t="s">
        <v>472</v>
      </c>
      <c r="C672" s="57"/>
      <c r="D672" s="57"/>
      <c r="E672" s="57"/>
      <c r="F672" s="57"/>
      <c r="G672" s="57"/>
      <c r="H672" s="57"/>
      <c r="I672" s="57"/>
      <c r="J672" s="57"/>
      <c r="K672" s="63"/>
      <c r="L672" s="57"/>
      <c r="M672" s="57"/>
      <c r="N672" s="57"/>
      <c r="O672" s="57"/>
      <c r="P672" s="57"/>
      <c r="Q672" s="57"/>
    </row>
    <row r="673">
      <c r="A673" s="60" t="s">
        <v>439</v>
      </c>
      <c r="B673" s="60" t="s">
        <v>473</v>
      </c>
      <c r="C673" s="57"/>
      <c r="D673" s="57"/>
      <c r="E673" s="57"/>
      <c r="F673" s="57"/>
      <c r="G673" s="57"/>
      <c r="H673" s="57"/>
      <c r="I673" s="57"/>
      <c r="J673" s="57"/>
      <c r="K673" s="63"/>
      <c r="L673" s="57"/>
      <c r="M673" s="57"/>
      <c r="N673" s="57"/>
      <c r="O673" s="57"/>
      <c r="P673" s="57"/>
      <c r="Q673" s="57"/>
    </row>
    <row r="674">
      <c r="A674" s="60" t="s">
        <v>441</v>
      </c>
      <c r="B674" s="60">
        <v>5.0</v>
      </c>
      <c r="C674" s="57"/>
      <c r="D674" s="57"/>
      <c r="E674" s="57"/>
      <c r="F674" s="57"/>
      <c r="G674" s="57"/>
      <c r="H674" s="57"/>
      <c r="I674" s="57"/>
      <c r="J674" s="57"/>
      <c r="K674" s="63"/>
      <c r="L674" s="57"/>
      <c r="M674" s="57"/>
      <c r="N674" s="57"/>
      <c r="O674" s="57"/>
      <c r="P674" s="57"/>
      <c r="Q674" s="57"/>
    </row>
    <row r="675">
      <c r="A675" s="60" t="s">
        <v>442</v>
      </c>
      <c r="B675" s="60" t="s">
        <v>424</v>
      </c>
      <c r="C675" s="57"/>
      <c r="D675" s="57"/>
      <c r="E675" s="57"/>
      <c r="F675" s="57"/>
      <c r="G675" s="57"/>
      <c r="H675" s="57"/>
      <c r="I675" s="57"/>
      <c r="J675" s="57"/>
      <c r="K675" s="63"/>
      <c r="L675" s="57"/>
      <c r="M675" s="57"/>
      <c r="N675" s="57"/>
      <c r="O675" s="57"/>
      <c r="P675" s="57"/>
      <c r="Q675" s="57"/>
    </row>
    <row r="676">
      <c r="A676" s="60" t="s">
        <v>510</v>
      </c>
      <c r="B676" s="60">
        <v>6.0</v>
      </c>
      <c r="C676" s="57"/>
      <c r="D676" s="57"/>
      <c r="E676" s="57"/>
      <c r="F676" s="57"/>
      <c r="G676" s="57"/>
      <c r="H676" s="57"/>
      <c r="I676" s="57"/>
      <c r="J676" s="57"/>
      <c r="K676" s="63"/>
      <c r="L676" s="57"/>
      <c r="M676" s="57"/>
      <c r="N676" s="57"/>
      <c r="O676" s="57"/>
      <c r="P676" s="57"/>
      <c r="Q676" s="57"/>
    </row>
    <row r="677">
      <c r="A677" s="60" t="s">
        <v>511</v>
      </c>
      <c r="B677" s="60" t="s">
        <v>614</v>
      </c>
      <c r="C677" s="57"/>
      <c r="D677" s="57"/>
      <c r="E677" s="57"/>
      <c r="F677" s="57"/>
      <c r="G677" s="57"/>
      <c r="H677" s="57"/>
      <c r="I677" s="57"/>
      <c r="J677" s="57"/>
      <c r="K677" s="63"/>
      <c r="L677" s="57"/>
      <c r="M677" s="57"/>
      <c r="N677" s="57"/>
      <c r="O677" s="57"/>
      <c r="P677" s="57"/>
      <c r="Q677" s="57"/>
    </row>
    <row r="678">
      <c r="A678" s="60" t="s">
        <v>555</v>
      </c>
      <c r="B678" s="60" t="s">
        <v>462</v>
      </c>
      <c r="C678" s="57"/>
      <c r="D678" s="57"/>
      <c r="E678" s="57"/>
      <c r="F678" s="57"/>
      <c r="G678" s="57"/>
      <c r="H678" s="57"/>
      <c r="I678" s="57"/>
      <c r="J678" s="57"/>
      <c r="K678" s="63"/>
      <c r="L678" s="57"/>
      <c r="M678" s="57"/>
      <c r="N678" s="57"/>
      <c r="O678" s="57"/>
      <c r="P678" s="57"/>
      <c r="Q678" s="57"/>
    </row>
    <row r="679">
      <c r="A679" s="60" t="s">
        <v>576</v>
      </c>
      <c r="B679" s="60" t="s">
        <v>436</v>
      </c>
      <c r="C679" s="57"/>
      <c r="D679" s="57"/>
      <c r="E679" s="57"/>
      <c r="F679" s="57"/>
      <c r="G679" s="57"/>
      <c r="H679" s="57"/>
      <c r="I679" s="57"/>
      <c r="J679" s="57"/>
      <c r="K679" s="63"/>
      <c r="L679" s="57"/>
      <c r="M679" s="57"/>
      <c r="N679" s="57"/>
      <c r="O679" s="57"/>
      <c r="P679" s="57"/>
      <c r="Q679" s="57"/>
    </row>
    <row r="680">
      <c r="A680" s="60" t="s">
        <v>444</v>
      </c>
      <c r="B680" s="60" t="s">
        <v>505</v>
      </c>
      <c r="C680" s="57"/>
      <c r="D680" s="57"/>
      <c r="E680" s="57"/>
      <c r="F680" s="57"/>
      <c r="G680" s="57"/>
      <c r="H680" s="57"/>
      <c r="I680" s="57"/>
      <c r="J680" s="57"/>
      <c r="K680" s="63"/>
      <c r="L680" s="57"/>
      <c r="M680" s="57"/>
      <c r="N680" s="57"/>
      <c r="O680" s="57"/>
      <c r="P680" s="57"/>
      <c r="Q680" s="57"/>
    </row>
    <row r="681">
      <c r="A681" s="60" t="s">
        <v>446</v>
      </c>
      <c r="B681" s="60" t="s">
        <v>461</v>
      </c>
      <c r="C681" s="57"/>
      <c r="D681" s="57"/>
      <c r="E681" s="57"/>
      <c r="F681" s="57"/>
      <c r="G681" s="57"/>
      <c r="H681" s="57"/>
      <c r="I681" s="57"/>
      <c r="J681" s="57"/>
      <c r="K681" s="63"/>
      <c r="L681" s="57"/>
      <c r="M681" s="57"/>
      <c r="N681" s="57"/>
      <c r="O681" s="57"/>
      <c r="P681" s="57"/>
      <c r="Q681" s="57"/>
    </row>
    <row r="682">
      <c r="A682" s="60" t="s">
        <v>615</v>
      </c>
      <c r="B682" s="60" t="s">
        <v>429</v>
      </c>
      <c r="C682" s="57"/>
      <c r="D682" s="57"/>
      <c r="E682" s="57"/>
      <c r="F682" s="57"/>
      <c r="G682" s="57"/>
      <c r="H682" s="57"/>
      <c r="I682" s="57"/>
      <c r="J682" s="57"/>
      <c r="K682" s="63"/>
      <c r="L682" s="57"/>
      <c r="M682" s="57"/>
      <c r="N682" s="57"/>
      <c r="O682" s="57"/>
      <c r="P682" s="57"/>
      <c r="Q682" s="57"/>
    </row>
    <row r="683">
      <c r="A683" s="60" t="s">
        <v>616</v>
      </c>
      <c r="B683" s="60" t="s">
        <v>430</v>
      </c>
      <c r="C683" s="57"/>
      <c r="D683" s="57"/>
      <c r="E683" s="57"/>
      <c r="F683" s="57"/>
      <c r="G683" s="57"/>
      <c r="H683" s="57"/>
      <c r="I683" s="57"/>
      <c r="J683" s="57"/>
      <c r="K683" s="63"/>
      <c r="L683" s="57"/>
      <c r="M683" s="57"/>
      <c r="N683" s="57"/>
      <c r="O683" s="57"/>
      <c r="P683" s="57"/>
      <c r="Q683" s="57"/>
    </row>
    <row r="684">
      <c r="A684" s="60" t="s">
        <v>617</v>
      </c>
      <c r="B684" s="60" t="s">
        <v>451</v>
      </c>
      <c r="C684" s="57"/>
      <c r="D684" s="57"/>
      <c r="E684" s="57"/>
      <c r="F684" s="57"/>
      <c r="G684" s="57"/>
      <c r="H684" s="57"/>
      <c r="I684" s="57"/>
      <c r="J684" s="57"/>
      <c r="K684" s="63"/>
      <c r="L684" s="57"/>
      <c r="M684" s="57"/>
      <c r="N684" s="57"/>
      <c r="O684" s="57"/>
      <c r="P684" s="57"/>
      <c r="Q684" s="57"/>
    </row>
    <row r="685">
      <c r="A685" s="60" t="s">
        <v>618</v>
      </c>
      <c r="B685" s="60" t="s">
        <v>463</v>
      </c>
      <c r="C685" s="57"/>
      <c r="D685" s="57"/>
      <c r="E685" s="57"/>
      <c r="F685" s="57"/>
      <c r="G685" s="57"/>
      <c r="H685" s="57"/>
      <c r="I685" s="57"/>
      <c r="J685" s="57"/>
      <c r="K685" s="63"/>
      <c r="L685" s="57"/>
      <c r="M685" s="57"/>
      <c r="N685" s="57"/>
      <c r="O685" s="57"/>
      <c r="P685" s="57"/>
      <c r="Q685" s="57"/>
    </row>
    <row r="686">
      <c r="A686" s="60" t="s">
        <v>619</v>
      </c>
      <c r="B686" s="60" t="s">
        <v>457</v>
      </c>
      <c r="C686" s="57"/>
      <c r="D686" s="57"/>
      <c r="E686" s="57"/>
      <c r="F686" s="57"/>
      <c r="G686" s="57"/>
      <c r="H686" s="57"/>
      <c r="I686" s="57"/>
      <c r="J686" s="57"/>
      <c r="K686" s="63"/>
      <c r="L686" s="57"/>
      <c r="M686" s="57"/>
      <c r="N686" s="57"/>
      <c r="O686" s="57"/>
      <c r="P686" s="57"/>
      <c r="Q686" s="57"/>
    </row>
    <row r="687">
      <c r="A687" s="60" t="s">
        <v>620</v>
      </c>
      <c r="B687" s="60" t="s">
        <v>496</v>
      </c>
      <c r="C687" s="57"/>
      <c r="D687" s="57"/>
      <c r="E687" s="57"/>
      <c r="F687" s="57"/>
      <c r="G687" s="57"/>
      <c r="H687" s="57"/>
      <c r="I687" s="57"/>
      <c r="J687" s="57"/>
      <c r="K687" s="63"/>
      <c r="L687" s="57"/>
      <c r="M687" s="57"/>
      <c r="N687" s="57"/>
      <c r="O687" s="57"/>
      <c r="P687" s="57"/>
      <c r="Q687" s="57"/>
    </row>
    <row r="688">
      <c r="A688" s="60" t="s">
        <v>621</v>
      </c>
      <c r="B688" s="60" t="s">
        <v>436</v>
      </c>
      <c r="C688" s="57"/>
      <c r="D688" s="57"/>
      <c r="E688" s="57"/>
      <c r="F688" s="57"/>
      <c r="G688" s="57"/>
      <c r="H688" s="57"/>
      <c r="I688" s="57"/>
      <c r="J688" s="57"/>
      <c r="K688" s="63"/>
      <c r="L688" s="57"/>
      <c r="M688" s="57"/>
      <c r="N688" s="57"/>
      <c r="O688" s="57"/>
      <c r="P688" s="57"/>
      <c r="Q688" s="57"/>
    </row>
    <row r="689">
      <c r="A689" s="60" t="s">
        <v>622</v>
      </c>
      <c r="B689" s="60" t="s">
        <v>497</v>
      </c>
      <c r="C689" s="57"/>
      <c r="D689" s="57"/>
      <c r="E689" s="57"/>
      <c r="F689" s="57"/>
      <c r="G689" s="57"/>
      <c r="H689" s="57"/>
      <c r="I689" s="57"/>
      <c r="J689" s="57"/>
      <c r="K689" s="63"/>
      <c r="L689" s="57"/>
      <c r="M689" s="57"/>
      <c r="N689" s="57"/>
      <c r="O689" s="57"/>
      <c r="P689" s="57"/>
      <c r="Q689" s="57"/>
    </row>
    <row r="690">
      <c r="A690" s="60" t="s">
        <v>623</v>
      </c>
      <c r="B690" s="60" t="s">
        <v>437</v>
      </c>
      <c r="C690" s="57"/>
      <c r="D690" s="57"/>
      <c r="E690" s="57"/>
      <c r="F690" s="57"/>
      <c r="G690" s="57"/>
      <c r="H690" s="57"/>
      <c r="I690" s="57"/>
      <c r="J690" s="57"/>
      <c r="K690" s="63"/>
      <c r="L690" s="57"/>
      <c r="M690" s="57"/>
      <c r="N690" s="57"/>
      <c r="O690" s="57"/>
      <c r="P690" s="57"/>
      <c r="Q690" s="57"/>
    </row>
    <row r="691">
      <c r="A691" s="60" t="s">
        <v>624</v>
      </c>
      <c r="B691" s="60" t="s">
        <v>425</v>
      </c>
      <c r="C691" s="57"/>
      <c r="D691" s="57"/>
      <c r="E691" s="57"/>
      <c r="F691" s="57"/>
      <c r="G691" s="57"/>
      <c r="H691" s="57"/>
      <c r="I691" s="57"/>
      <c r="J691" s="57"/>
      <c r="K691" s="63"/>
      <c r="L691" s="57"/>
      <c r="M691" s="57"/>
      <c r="N691" s="57"/>
      <c r="O691" s="57"/>
      <c r="P691" s="57"/>
      <c r="Q691" s="57"/>
    </row>
    <row r="692">
      <c r="A692" s="60" t="s">
        <v>625</v>
      </c>
      <c r="B692" s="60" t="s">
        <v>436</v>
      </c>
      <c r="C692" s="57"/>
      <c r="D692" s="57"/>
      <c r="E692" s="57"/>
      <c r="F692" s="57"/>
      <c r="G692" s="57"/>
      <c r="H692" s="57"/>
      <c r="I692" s="57"/>
      <c r="J692" s="57"/>
      <c r="K692" s="63"/>
      <c r="L692" s="57"/>
      <c r="M692" s="57"/>
      <c r="N692" s="57"/>
      <c r="O692" s="57"/>
      <c r="P692" s="57"/>
      <c r="Q692" s="57"/>
    </row>
    <row r="693">
      <c r="A693" s="60" t="s">
        <v>626</v>
      </c>
      <c r="B693" s="60" t="s">
        <v>445</v>
      </c>
      <c r="C693" s="57"/>
      <c r="D693" s="57"/>
      <c r="E693" s="57"/>
      <c r="F693" s="57"/>
      <c r="G693" s="57"/>
      <c r="H693" s="57"/>
      <c r="I693" s="57"/>
      <c r="J693" s="57"/>
      <c r="K693" s="63"/>
      <c r="L693" s="57"/>
      <c r="M693" s="57"/>
      <c r="N693" s="57"/>
      <c r="O693" s="57"/>
      <c r="P693" s="57"/>
      <c r="Q693" s="57"/>
    </row>
    <row r="694">
      <c r="A694" s="60" t="s">
        <v>627</v>
      </c>
      <c r="B694" s="60">
        <v>5.0</v>
      </c>
      <c r="C694" s="57"/>
      <c r="D694" s="57"/>
      <c r="E694" s="57"/>
      <c r="F694" s="57"/>
      <c r="G694" s="57"/>
      <c r="H694" s="57"/>
      <c r="I694" s="57"/>
      <c r="J694" s="57"/>
      <c r="K694" s="63"/>
      <c r="L694" s="57"/>
      <c r="M694" s="57"/>
      <c r="N694" s="57"/>
      <c r="O694" s="57"/>
      <c r="P694" s="57"/>
      <c r="Q694" s="57"/>
    </row>
    <row r="695">
      <c r="A695" s="60" t="s">
        <v>628</v>
      </c>
      <c r="B695" s="60" t="s">
        <v>499</v>
      </c>
      <c r="C695" s="57"/>
      <c r="D695" s="57"/>
      <c r="E695" s="57"/>
      <c r="F695" s="57"/>
      <c r="G695" s="57"/>
      <c r="H695" s="57"/>
      <c r="I695" s="57"/>
      <c r="J695" s="57"/>
      <c r="K695" s="63"/>
      <c r="L695" s="57"/>
      <c r="M695" s="57"/>
      <c r="N695" s="57"/>
      <c r="O695" s="57"/>
      <c r="P695" s="57"/>
      <c r="Q695" s="57"/>
    </row>
    <row r="696">
      <c r="A696" s="60" t="s">
        <v>629</v>
      </c>
      <c r="B696" s="60" t="s">
        <v>440</v>
      </c>
      <c r="C696" s="57"/>
      <c r="D696" s="57"/>
      <c r="E696" s="57"/>
      <c r="F696" s="57"/>
      <c r="G696" s="57"/>
      <c r="H696" s="57"/>
      <c r="I696" s="57"/>
      <c r="J696" s="57"/>
      <c r="K696" s="63"/>
      <c r="L696" s="57"/>
      <c r="M696" s="57"/>
      <c r="N696" s="57"/>
      <c r="O696" s="57"/>
      <c r="P696" s="57"/>
      <c r="Q696" s="57"/>
    </row>
    <row r="697">
      <c r="A697" s="60" t="s">
        <v>630</v>
      </c>
      <c r="B697" s="60" t="s">
        <v>631</v>
      </c>
      <c r="C697" s="57"/>
      <c r="D697" s="57"/>
      <c r="E697" s="57"/>
      <c r="F697" s="57"/>
      <c r="G697" s="57"/>
      <c r="H697" s="57"/>
      <c r="I697" s="57"/>
      <c r="J697" s="57"/>
      <c r="K697" s="63"/>
      <c r="L697" s="57"/>
      <c r="M697" s="57"/>
      <c r="N697" s="57"/>
      <c r="O697" s="57"/>
      <c r="P697" s="57"/>
      <c r="Q697" s="57"/>
    </row>
    <row r="698">
      <c r="A698" s="67" t="s">
        <v>186</v>
      </c>
      <c r="B698" s="60" t="s">
        <v>480</v>
      </c>
      <c r="C698" s="57"/>
      <c r="D698" s="57"/>
      <c r="E698" s="57"/>
      <c r="F698" s="57"/>
      <c r="G698" s="57"/>
      <c r="H698" s="57"/>
      <c r="I698" s="57"/>
      <c r="J698" s="57"/>
      <c r="K698" s="63"/>
      <c r="L698" s="57"/>
      <c r="M698" s="57"/>
      <c r="N698" s="57"/>
      <c r="O698" s="57"/>
      <c r="P698" s="57"/>
      <c r="Q698" s="57"/>
    </row>
    <row r="699">
      <c r="A699" s="60" t="s">
        <v>38</v>
      </c>
      <c r="B699" s="26"/>
      <c r="C699" s="65">
        <v>32.0</v>
      </c>
      <c r="D699" s="57">
        <f t="shared" ref="D699:D700" si="315">ROUNDDOWN(C699*1.1,0)</f>
        <v>35</v>
      </c>
      <c r="E699" s="57">
        <f t="shared" ref="E699:E700" si="316">ROUNDDOWN(C699*1.21,0)</f>
        <v>38</v>
      </c>
      <c r="F699" s="57">
        <f t="shared" ref="F699:F700" si="317">ROUNDDOWN(C699*1.33,0)</f>
        <v>42</v>
      </c>
      <c r="G699" s="57">
        <f t="shared" ref="G699:G700" si="318">ROUNDDOWN(C699*1.46,0)</f>
        <v>46</v>
      </c>
      <c r="H699" s="57">
        <f t="shared" ref="H699:H700" si="319">ROUNDDOWN(C699*1.6,0)</f>
        <v>51</v>
      </c>
      <c r="I699" s="57">
        <f t="shared" ref="I699:I700" si="320">ROUNDDOWN(C699*1.76,0)</f>
        <v>56</v>
      </c>
      <c r="J699" s="57">
        <f t="shared" ref="J699:J700" si="321">ROUNDDOWN(C699*1.93,0)</f>
        <v>61</v>
      </c>
      <c r="K699" s="63">
        <f t="shared" ref="K699:K700" si="322">ROUNDDOWN(C699*2.12,0)</f>
        <v>67</v>
      </c>
      <c r="L699" s="57">
        <f t="shared" ref="L699:L700" si="323">ROUNDDOWN(C699*2.33,0)</f>
        <v>74</v>
      </c>
      <c r="M699" s="57">
        <f t="shared" ref="M699:M700" si="324">ROUNDDOWN(C699*2.56,0)</f>
        <v>81</v>
      </c>
      <c r="N699" s="57">
        <f t="shared" ref="N699:N700" si="325">ROUNDDOWN(C699*2.81,0)</f>
        <v>89</v>
      </c>
      <c r="O699" s="57">
        <f t="shared" ref="O699:O700" si="326">ROUNDDOWN(C699*3.09,0)</f>
        <v>98</v>
      </c>
      <c r="P699" s="57">
        <f t="shared" ref="P699:P700" si="327">ROUNDDOWN(C699*3.39,0)</f>
        <v>108</v>
      </c>
      <c r="Q699" s="57"/>
    </row>
    <row r="700">
      <c r="A700" s="60" t="s">
        <v>24</v>
      </c>
      <c r="B700" s="26"/>
      <c r="C700" s="65">
        <v>32.0</v>
      </c>
      <c r="D700" s="57">
        <f t="shared" si="315"/>
        <v>35</v>
      </c>
      <c r="E700" s="57">
        <f t="shared" si="316"/>
        <v>38</v>
      </c>
      <c r="F700" s="57">
        <f t="shared" si="317"/>
        <v>42</v>
      </c>
      <c r="G700" s="57">
        <f t="shared" si="318"/>
        <v>46</v>
      </c>
      <c r="H700" s="57">
        <f t="shared" si="319"/>
        <v>51</v>
      </c>
      <c r="I700" s="57">
        <f t="shared" si="320"/>
        <v>56</v>
      </c>
      <c r="J700" s="57">
        <f t="shared" si="321"/>
        <v>61</v>
      </c>
      <c r="K700" s="63">
        <f t="shared" si="322"/>
        <v>67</v>
      </c>
      <c r="L700" s="57">
        <f t="shared" si="323"/>
        <v>74</v>
      </c>
      <c r="M700" s="57">
        <f t="shared" si="324"/>
        <v>81</v>
      </c>
      <c r="N700" s="57">
        <f t="shared" si="325"/>
        <v>89</v>
      </c>
      <c r="O700" s="57">
        <f t="shared" si="326"/>
        <v>98</v>
      </c>
      <c r="P700" s="57">
        <f t="shared" si="327"/>
        <v>108</v>
      </c>
      <c r="Q700" s="57"/>
    </row>
    <row r="701">
      <c r="A701" s="60" t="s">
        <v>428</v>
      </c>
      <c r="B701" s="60" t="s">
        <v>429</v>
      </c>
      <c r="C701" s="57"/>
      <c r="D701" s="57"/>
      <c r="E701" s="57"/>
      <c r="F701" s="57"/>
      <c r="G701" s="57"/>
      <c r="H701" s="57"/>
      <c r="I701" s="57"/>
      <c r="J701" s="57"/>
      <c r="K701" s="63"/>
      <c r="L701" s="57"/>
      <c r="M701" s="57"/>
      <c r="N701" s="57"/>
      <c r="O701" s="57"/>
      <c r="P701" s="57"/>
      <c r="Q701" s="57"/>
    </row>
    <row r="702">
      <c r="A702" s="60" t="s">
        <v>55</v>
      </c>
      <c r="B702" s="60" t="s">
        <v>430</v>
      </c>
      <c r="C702" s="57"/>
      <c r="D702" s="57"/>
      <c r="E702" s="57"/>
      <c r="F702" s="57"/>
      <c r="G702" s="57"/>
      <c r="H702" s="57"/>
      <c r="I702" s="57"/>
      <c r="J702" s="57"/>
      <c r="K702" s="63"/>
      <c r="L702" s="57"/>
      <c r="M702" s="57"/>
      <c r="N702" s="57"/>
      <c r="O702" s="57"/>
      <c r="P702" s="57"/>
      <c r="Q702" s="57"/>
    </row>
    <row r="703">
      <c r="A703" s="60" t="s">
        <v>51</v>
      </c>
      <c r="B703" s="60" t="s">
        <v>482</v>
      </c>
      <c r="C703" s="57"/>
      <c r="D703" s="57"/>
      <c r="E703" s="57"/>
      <c r="F703" s="57"/>
      <c r="G703" s="57"/>
      <c r="H703" s="57"/>
      <c r="I703" s="57"/>
      <c r="J703" s="57"/>
      <c r="K703" s="63"/>
      <c r="L703" s="57"/>
      <c r="M703" s="57"/>
      <c r="N703" s="57"/>
      <c r="O703" s="57"/>
      <c r="P703" s="57"/>
      <c r="Q703" s="57"/>
    </row>
    <row r="704">
      <c r="A704" s="60" t="s">
        <v>49</v>
      </c>
      <c r="B704" s="60" t="s">
        <v>609</v>
      </c>
      <c r="C704" s="57"/>
      <c r="D704" s="57"/>
      <c r="E704" s="57"/>
      <c r="F704" s="57"/>
      <c r="G704" s="57"/>
      <c r="H704" s="57"/>
      <c r="I704" s="57"/>
      <c r="J704" s="57"/>
      <c r="K704" s="63"/>
      <c r="L704" s="57"/>
      <c r="M704" s="57"/>
      <c r="N704" s="57"/>
      <c r="O704" s="57"/>
      <c r="P704" s="57"/>
      <c r="Q704" s="57"/>
    </row>
    <row r="705">
      <c r="A705" s="60" t="s">
        <v>432</v>
      </c>
      <c r="B705" s="60" t="s">
        <v>457</v>
      </c>
      <c r="C705" s="57"/>
      <c r="D705" s="57"/>
      <c r="E705" s="57"/>
      <c r="F705" s="57"/>
      <c r="G705" s="57"/>
      <c r="H705" s="57"/>
      <c r="I705" s="57"/>
      <c r="J705" s="57"/>
      <c r="K705" s="63"/>
      <c r="L705" s="57"/>
      <c r="M705" s="57"/>
      <c r="N705" s="57"/>
      <c r="O705" s="57"/>
      <c r="P705" s="57"/>
      <c r="Q705" s="57"/>
    </row>
    <row r="706">
      <c r="A706" s="60" t="s">
        <v>53</v>
      </c>
      <c r="B706" s="60" t="s">
        <v>458</v>
      </c>
      <c r="C706" s="57"/>
      <c r="D706" s="57"/>
      <c r="E706" s="57"/>
      <c r="F706" s="57"/>
      <c r="G706" s="57"/>
      <c r="H706" s="57"/>
      <c r="I706" s="57"/>
      <c r="J706" s="57"/>
      <c r="K706" s="63"/>
      <c r="L706" s="57"/>
      <c r="M706" s="57"/>
      <c r="N706" s="57"/>
      <c r="O706" s="57"/>
      <c r="P706" s="57"/>
      <c r="Q706" s="57"/>
    </row>
    <row r="707">
      <c r="A707" s="60" t="s">
        <v>50</v>
      </c>
      <c r="B707" s="60" t="s">
        <v>425</v>
      </c>
      <c r="C707" s="57"/>
      <c r="D707" s="57"/>
      <c r="E707" s="57"/>
      <c r="F707" s="57"/>
      <c r="G707" s="57"/>
      <c r="H707" s="57"/>
      <c r="I707" s="57"/>
      <c r="J707" s="57"/>
      <c r="K707" s="63"/>
      <c r="L707" s="57"/>
      <c r="M707" s="57"/>
      <c r="N707" s="57"/>
      <c r="O707" s="57"/>
      <c r="P707" s="57"/>
      <c r="Q707" s="57"/>
    </row>
    <row r="708">
      <c r="A708" s="60" t="s">
        <v>438</v>
      </c>
      <c r="B708" s="60" t="s">
        <v>436</v>
      </c>
      <c r="C708" s="57"/>
      <c r="D708" s="57"/>
      <c r="E708" s="57"/>
      <c r="F708" s="57"/>
      <c r="G708" s="57"/>
      <c r="H708" s="57"/>
      <c r="I708" s="57"/>
      <c r="J708" s="57"/>
      <c r="K708" s="63"/>
      <c r="L708" s="57"/>
      <c r="M708" s="57"/>
      <c r="N708" s="57"/>
      <c r="O708" s="57"/>
      <c r="P708" s="57"/>
      <c r="Q708" s="57"/>
    </row>
    <row r="709">
      <c r="A709" s="60" t="s">
        <v>439</v>
      </c>
      <c r="B709" s="60" t="s">
        <v>440</v>
      </c>
      <c r="C709" s="57"/>
      <c r="D709" s="57"/>
      <c r="E709" s="57"/>
      <c r="F709" s="57"/>
      <c r="G709" s="57"/>
      <c r="H709" s="57"/>
      <c r="I709" s="57"/>
      <c r="J709" s="57"/>
      <c r="K709" s="63"/>
      <c r="L709" s="57"/>
      <c r="M709" s="57"/>
      <c r="N709" s="57"/>
      <c r="O709" s="57"/>
      <c r="P709" s="57"/>
      <c r="Q709" s="57"/>
    </row>
    <row r="710">
      <c r="A710" s="60" t="s">
        <v>441</v>
      </c>
      <c r="B710" s="60">
        <v>1.0</v>
      </c>
      <c r="C710" s="57"/>
      <c r="D710" s="57"/>
      <c r="E710" s="57"/>
      <c r="F710" s="57"/>
      <c r="G710" s="57"/>
      <c r="H710" s="57"/>
      <c r="I710" s="57"/>
      <c r="J710" s="57"/>
      <c r="K710" s="63"/>
      <c r="L710" s="57"/>
      <c r="M710" s="57"/>
      <c r="N710" s="57"/>
      <c r="O710" s="57"/>
      <c r="P710" s="57"/>
      <c r="Q710" s="57"/>
    </row>
    <row r="711">
      <c r="A711" s="60" t="s">
        <v>442</v>
      </c>
      <c r="B711" s="60" t="s">
        <v>478</v>
      </c>
      <c r="C711" s="57"/>
      <c r="D711" s="57"/>
      <c r="E711" s="57"/>
      <c r="F711" s="57"/>
      <c r="G711" s="57"/>
      <c r="H711" s="57"/>
      <c r="I711" s="57"/>
      <c r="J711" s="57"/>
      <c r="K711" s="63"/>
      <c r="L711" s="57"/>
      <c r="M711" s="57"/>
      <c r="N711" s="57"/>
      <c r="O711" s="57"/>
      <c r="P711" s="57"/>
      <c r="Q711" s="57"/>
    </row>
    <row r="712">
      <c r="A712" s="60" t="s">
        <v>632</v>
      </c>
      <c r="B712" s="60" t="s">
        <v>633</v>
      </c>
      <c r="C712" s="57"/>
      <c r="D712" s="57"/>
      <c r="E712" s="57"/>
      <c r="F712" s="57"/>
      <c r="G712" s="57"/>
      <c r="H712" s="57"/>
      <c r="I712" s="57"/>
      <c r="J712" s="57"/>
      <c r="K712" s="63"/>
      <c r="L712" s="57"/>
      <c r="M712" s="57"/>
      <c r="N712" s="57"/>
      <c r="O712" s="57"/>
      <c r="P712" s="57"/>
      <c r="Q712" s="57"/>
    </row>
    <row r="713">
      <c r="A713" s="60" t="s">
        <v>444</v>
      </c>
      <c r="B713" s="60" t="s">
        <v>491</v>
      </c>
      <c r="C713" s="57"/>
      <c r="D713" s="57"/>
      <c r="E713" s="57"/>
      <c r="F713" s="57"/>
      <c r="G713" s="57"/>
      <c r="H713" s="57"/>
      <c r="I713" s="57"/>
      <c r="J713" s="57"/>
      <c r="K713" s="63"/>
      <c r="L713" s="57"/>
      <c r="M713" s="57"/>
      <c r="N713" s="57"/>
      <c r="O713" s="57"/>
      <c r="P713" s="57"/>
      <c r="Q713" s="57"/>
    </row>
    <row r="714">
      <c r="A714" s="60" t="s">
        <v>446</v>
      </c>
      <c r="B714" s="60" t="s">
        <v>491</v>
      </c>
      <c r="C714" s="57"/>
      <c r="D714" s="57"/>
      <c r="E714" s="57"/>
      <c r="F714" s="57"/>
      <c r="G714" s="57"/>
      <c r="H714" s="57"/>
      <c r="I714" s="57"/>
      <c r="J714" s="57"/>
      <c r="K714" s="63"/>
      <c r="L714" s="57"/>
      <c r="M714" s="57"/>
      <c r="N714" s="57"/>
      <c r="O714" s="57"/>
      <c r="P714" s="57"/>
      <c r="Q714" s="57"/>
    </row>
    <row r="715">
      <c r="A715" s="60" t="s">
        <v>447</v>
      </c>
      <c r="B715" s="60" t="s">
        <v>448</v>
      </c>
      <c r="C715" s="57"/>
      <c r="D715" s="57"/>
      <c r="E715" s="57"/>
      <c r="F715" s="57"/>
      <c r="G715" s="57"/>
      <c r="H715" s="57"/>
      <c r="I715" s="57"/>
      <c r="J715" s="57"/>
      <c r="K715" s="63"/>
      <c r="L715" s="57"/>
      <c r="M715" s="57"/>
      <c r="N715" s="57"/>
      <c r="O715" s="57"/>
      <c r="P715" s="57"/>
      <c r="Q715" s="57"/>
    </row>
    <row r="716">
      <c r="A716" s="60" t="s">
        <v>634</v>
      </c>
      <c r="B716" s="60" t="s">
        <v>635</v>
      </c>
      <c r="C716" s="57"/>
      <c r="D716" s="57"/>
      <c r="E716" s="57"/>
      <c r="F716" s="57"/>
      <c r="G716" s="57"/>
      <c r="H716" s="57"/>
      <c r="I716" s="57"/>
      <c r="J716" s="57"/>
      <c r="K716" s="63"/>
      <c r="L716" s="57"/>
      <c r="M716" s="57"/>
      <c r="N716" s="57"/>
      <c r="O716" s="57"/>
      <c r="P716" s="57"/>
      <c r="Q716" s="57"/>
    </row>
    <row r="717">
      <c r="A717" s="60" t="s">
        <v>57</v>
      </c>
      <c r="B717" s="60">
        <v>5.0</v>
      </c>
      <c r="C717" s="57"/>
      <c r="D717" s="57"/>
      <c r="E717" s="57"/>
      <c r="F717" s="57"/>
      <c r="G717" s="57"/>
      <c r="H717" s="57"/>
      <c r="I717" s="57"/>
      <c r="J717" s="57"/>
      <c r="K717" s="63"/>
      <c r="L717" s="57"/>
      <c r="M717" s="57"/>
      <c r="N717" s="57"/>
      <c r="O717" s="57"/>
      <c r="P717" s="57"/>
      <c r="Q717" s="57"/>
    </row>
    <row r="718">
      <c r="A718" s="60" t="s">
        <v>489</v>
      </c>
      <c r="B718" s="60" t="s">
        <v>473</v>
      </c>
      <c r="C718" s="57"/>
      <c r="D718" s="57"/>
      <c r="E718" s="57"/>
      <c r="F718" s="57"/>
      <c r="G718" s="57"/>
      <c r="H718" s="57"/>
      <c r="I718" s="57"/>
      <c r="J718" s="57"/>
      <c r="K718" s="63"/>
      <c r="L718" s="57"/>
      <c r="M718" s="57"/>
      <c r="N718" s="57"/>
      <c r="O718" s="57"/>
      <c r="P718" s="57"/>
      <c r="Q718" s="57"/>
    </row>
    <row r="719">
      <c r="A719" s="60" t="s">
        <v>449</v>
      </c>
      <c r="B719" s="60" t="s">
        <v>450</v>
      </c>
      <c r="C719" s="57"/>
      <c r="D719" s="57"/>
      <c r="E719" s="57"/>
      <c r="F719" s="57"/>
      <c r="G719" s="57"/>
      <c r="H719" s="57"/>
      <c r="I719" s="57"/>
      <c r="J719" s="57"/>
      <c r="K719" s="63"/>
      <c r="L719" s="57"/>
      <c r="M719" s="57"/>
      <c r="N719" s="57"/>
      <c r="O719" s="57"/>
      <c r="P719" s="57"/>
      <c r="Q719" s="57"/>
    </row>
    <row r="720">
      <c r="A720" s="67" t="s">
        <v>254</v>
      </c>
      <c r="B720" s="60" t="s">
        <v>480</v>
      </c>
      <c r="C720" s="57"/>
      <c r="D720" s="57"/>
      <c r="E720" s="57"/>
      <c r="F720" s="57"/>
      <c r="G720" s="57"/>
      <c r="H720" s="57"/>
      <c r="I720" s="57"/>
      <c r="J720" s="57"/>
      <c r="K720" s="63"/>
      <c r="L720" s="57"/>
      <c r="M720" s="57"/>
      <c r="N720" s="57"/>
      <c r="O720" s="57"/>
      <c r="P720" s="57"/>
      <c r="Q720" s="57"/>
    </row>
    <row r="721">
      <c r="A721" s="60" t="s">
        <v>38</v>
      </c>
      <c r="B721" s="26"/>
      <c r="C721" s="65">
        <v>43.0</v>
      </c>
      <c r="D721" s="57">
        <f t="shared" ref="D721:D722" si="328">ROUNDDOWN(C721*1.1,0)</f>
        <v>47</v>
      </c>
      <c r="E721" s="57">
        <f t="shared" ref="E721:E722" si="329">ROUNDDOWN(C721*1.21,0)</f>
        <v>52</v>
      </c>
      <c r="F721" s="57">
        <f t="shared" ref="F721:F722" si="330">ROUNDDOWN(C721*1.33,0)</f>
        <v>57</v>
      </c>
      <c r="G721" s="57">
        <f t="shared" ref="G721:G722" si="331">ROUNDDOWN(C721*1.46,0)</f>
        <v>62</v>
      </c>
      <c r="H721" s="57">
        <f t="shared" ref="H721:H722" si="332">ROUNDDOWN(C721*1.6,0)</f>
        <v>68</v>
      </c>
      <c r="I721" s="57">
        <f t="shared" ref="I721:I722" si="333">ROUNDDOWN(C721*1.76,0)</f>
        <v>75</v>
      </c>
      <c r="J721" s="57">
        <f t="shared" ref="J721:J722" si="334">ROUNDDOWN(C721*1.93,0)</f>
        <v>82</v>
      </c>
      <c r="K721" s="63">
        <f t="shared" ref="K721:K722" si="335">ROUNDDOWN(C721*2.12,0)</f>
        <v>91</v>
      </c>
      <c r="L721" s="57">
        <f t="shared" ref="L721:L722" si="336">ROUNDDOWN(C721*2.33,0)</f>
        <v>100</v>
      </c>
      <c r="M721" s="57">
        <f t="shared" ref="M721:M722" si="337">ROUNDDOWN(C721*2.56,0)</f>
        <v>110</v>
      </c>
      <c r="N721" s="57">
        <f t="shared" ref="N721:N722" si="338">ROUNDDOWN(C721*2.81,0)</f>
        <v>120</v>
      </c>
      <c r="O721" s="57">
        <f t="shared" ref="O721:O722" si="339">ROUNDDOWN(C721*3.09,0)</f>
        <v>132</v>
      </c>
      <c r="P721" s="57">
        <f t="shared" ref="P721:P722" si="340">ROUNDDOWN(C721*3.39,0)</f>
        <v>145</v>
      </c>
      <c r="Q721" s="57"/>
    </row>
    <row r="722">
      <c r="A722" s="60" t="s">
        <v>24</v>
      </c>
      <c r="B722" s="26"/>
      <c r="C722" s="65">
        <v>84.0</v>
      </c>
      <c r="D722" s="57">
        <f t="shared" si="328"/>
        <v>92</v>
      </c>
      <c r="E722" s="57">
        <f t="shared" si="329"/>
        <v>101</v>
      </c>
      <c r="F722" s="57">
        <f t="shared" si="330"/>
        <v>111</v>
      </c>
      <c r="G722" s="57">
        <f t="shared" si="331"/>
        <v>122</v>
      </c>
      <c r="H722" s="57">
        <f t="shared" si="332"/>
        <v>134</v>
      </c>
      <c r="I722" s="57">
        <f t="shared" si="333"/>
        <v>147</v>
      </c>
      <c r="J722" s="57">
        <f t="shared" si="334"/>
        <v>162</v>
      </c>
      <c r="K722" s="63">
        <f t="shared" si="335"/>
        <v>178</v>
      </c>
      <c r="L722" s="57">
        <f t="shared" si="336"/>
        <v>195</v>
      </c>
      <c r="M722" s="57">
        <f t="shared" si="337"/>
        <v>215</v>
      </c>
      <c r="N722" s="57">
        <f t="shared" si="338"/>
        <v>236</v>
      </c>
      <c r="O722" s="57">
        <f t="shared" si="339"/>
        <v>259</v>
      </c>
      <c r="P722" s="57">
        <f t="shared" si="340"/>
        <v>284</v>
      </c>
      <c r="Q722" s="57"/>
    </row>
    <row r="723">
      <c r="A723" s="60" t="s">
        <v>428</v>
      </c>
      <c r="B723" s="60" t="s">
        <v>429</v>
      </c>
      <c r="C723" s="57"/>
      <c r="D723" s="57"/>
      <c r="E723" s="57"/>
      <c r="F723" s="57"/>
      <c r="G723" s="57"/>
      <c r="H723" s="57"/>
      <c r="I723" s="57"/>
      <c r="J723" s="57"/>
      <c r="K723" s="63"/>
      <c r="L723" s="57"/>
      <c r="M723" s="57"/>
      <c r="N723" s="57"/>
      <c r="O723" s="57"/>
      <c r="P723" s="57"/>
      <c r="Q723" s="57"/>
    </row>
    <row r="724">
      <c r="A724" s="60" t="s">
        <v>55</v>
      </c>
      <c r="B724" s="60" t="s">
        <v>430</v>
      </c>
      <c r="C724" s="57"/>
      <c r="D724" s="57"/>
      <c r="E724" s="57"/>
      <c r="F724" s="57"/>
      <c r="G724" s="57"/>
      <c r="H724" s="57"/>
      <c r="I724" s="57"/>
      <c r="J724" s="57"/>
      <c r="K724" s="63"/>
      <c r="L724" s="57"/>
      <c r="M724" s="57"/>
      <c r="N724" s="57"/>
      <c r="O724" s="57"/>
      <c r="P724" s="57"/>
      <c r="Q724" s="57"/>
    </row>
    <row r="725">
      <c r="A725" s="60" t="s">
        <v>51</v>
      </c>
      <c r="B725" s="60" t="s">
        <v>482</v>
      </c>
      <c r="C725" s="57"/>
      <c r="D725" s="57"/>
      <c r="E725" s="57"/>
      <c r="F725" s="57"/>
      <c r="G725" s="57"/>
      <c r="H725" s="57"/>
      <c r="I725" s="57"/>
      <c r="J725" s="57"/>
      <c r="K725" s="63"/>
      <c r="L725" s="57"/>
      <c r="M725" s="57"/>
      <c r="N725" s="57"/>
      <c r="O725" s="57"/>
      <c r="P725" s="57"/>
      <c r="Q725" s="57"/>
    </row>
    <row r="726">
      <c r="A726" s="60" t="s">
        <v>49</v>
      </c>
      <c r="B726" s="60" t="s">
        <v>466</v>
      </c>
      <c r="C726" s="57"/>
      <c r="D726" s="57"/>
      <c r="E726" s="57"/>
      <c r="F726" s="57"/>
      <c r="G726" s="57"/>
      <c r="H726" s="57"/>
      <c r="I726" s="57"/>
      <c r="J726" s="57"/>
      <c r="K726" s="63"/>
      <c r="L726" s="57"/>
      <c r="M726" s="57"/>
      <c r="N726" s="57"/>
      <c r="O726" s="57"/>
      <c r="P726" s="57"/>
      <c r="Q726" s="57"/>
    </row>
    <row r="727">
      <c r="A727" s="60" t="s">
        <v>432</v>
      </c>
      <c r="B727" s="60" t="s">
        <v>450</v>
      </c>
      <c r="C727" s="65"/>
      <c r="D727" s="57"/>
      <c r="E727" s="57"/>
      <c r="F727" s="57"/>
      <c r="G727" s="57"/>
      <c r="H727" s="57"/>
      <c r="I727" s="57"/>
      <c r="J727" s="57"/>
      <c r="K727" s="63"/>
      <c r="L727" s="57"/>
      <c r="M727" s="57"/>
      <c r="N727" s="57"/>
      <c r="O727" s="57"/>
      <c r="P727" s="57"/>
      <c r="Q727" s="57"/>
    </row>
    <row r="728">
      <c r="A728" s="60" t="s">
        <v>422</v>
      </c>
      <c r="B728" s="60" t="s">
        <v>517</v>
      </c>
      <c r="C728" s="57"/>
      <c r="D728" s="57"/>
      <c r="E728" s="57"/>
      <c r="F728" s="57"/>
      <c r="G728" s="57"/>
      <c r="H728" s="57"/>
      <c r="I728" s="57"/>
      <c r="J728" s="57"/>
      <c r="K728" s="63"/>
      <c r="L728" s="57"/>
      <c r="M728" s="57"/>
      <c r="N728" s="57"/>
      <c r="O728" s="57"/>
      <c r="P728" s="57"/>
      <c r="Q728" s="57"/>
    </row>
    <row r="729">
      <c r="A729" s="60" t="s">
        <v>435</v>
      </c>
      <c r="B729" s="60" t="s">
        <v>436</v>
      </c>
      <c r="C729" s="57"/>
      <c r="D729" s="57"/>
      <c r="E729" s="57"/>
      <c r="F729" s="57"/>
      <c r="G729" s="57"/>
      <c r="H729" s="57"/>
      <c r="I729" s="57"/>
      <c r="J729" s="57"/>
      <c r="K729" s="63"/>
      <c r="L729" s="57"/>
      <c r="M729" s="57"/>
      <c r="N729" s="57"/>
      <c r="O729" s="57"/>
      <c r="P729" s="57"/>
      <c r="Q729" s="57"/>
    </row>
    <row r="730">
      <c r="A730" s="60" t="s">
        <v>483</v>
      </c>
      <c r="B730" s="60" t="s">
        <v>636</v>
      </c>
      <c r="C730" s="57"/>
      <c r="D730" s="57"/>
      <c r="E730" s="57"/>
      <c r="F730" s="57"/>
      <c r="G730" s="57"/>
      <c r="H730" s="57"/>
      <c r="I730" s="57"/>
      <c r="J730" s="57"/>
      <c r="K730" s="63"/>
      <c r="L730" s="57"/>
      <c r="M730" s="57"/>
      <c r="N730" s="57"/>
      <c r="O730" s="57"/>
      <c r="P730" s="57"/>
      <c r="Q730" s="57"/>
    </row>
    <row r="731">
      <c r="A731" s="60" t="s">
        <v>426</v>
      </c>
      <c r="B731" s="60" t="s">
        <v>485</v>
      </c>
      <c r="C731" s="57"/>
      <c r="D731" s="57"/>
      <c r="E731" s="57"/>
      <c r="F731" s="57"/>
      <c r="G731" s="57"/>
      <c r="H731" s="57"/>
      <c r="I731" s="57"/>
      <c r="J731" s="57"/>
      <c r="K731" s="63"/>
      <c r="L731" s="57"/>
      <c r="M731" s="57"/>
      <c r="N731" s="57"/>
      <c r="O731" s="57"/>
      <c r="P731" s="57"/>
      <c r="Q731" s="57"/>
    </row>
    <row r="732">
      <c r="A732" s="60" t="s">
        <v>53</v>
      </c>
      <c r="B732" s="60" t="s">
        <v>478</v>
      </c>
      <c r="C732" s="57"/>
      <c r="D732" s="57"/>
      <c r="E732" s="57"/>
      <c r="F732" s="57"/>
      <c r="G732" s="57"/>
      <c r="H732" s="57"/>
      <c r="I732" s="57"/>
      <c r="J732" s="57"/>
      <c r="K732" s="63"/>
      <c r="L732" s="57"/>
      <c r="M732" s="57"/>
      <c r="N732" s="57"/>
      <c r="O732" s="57"/>
      <c r="P732" s="57"/>
      <c r="Q732" s="57"/>
    </row>
    <row r="733">
      <c r="A733" s="60" t="s">
        <v>50</v>
      </c>
      <c r="B733" s="60" t="s">
        <v>425</v>
      </c>
      <c r="C733" s="57"/>
      <c r="D733" s="57"/>
      <c r="E733" s="57"/>
      <c r="F733" s="57"/>
      <c r="G733" s="57"/>
      <c r="H733" s="57"/>
      <c r="I733" s="57"/>
      <c r="J733" s="57"/>
      <c r="K733" s="63"/>
      <c r="L733" s="57"/>
      <c r="M733" s="57"/>
      <c r="N733" s="57"/>
      <c r="O733" s="57"/>
      <c r="P733" s="57"/>
      <c r="Q733" s="57"/>
    </row>
    <row r="734">
      <c r="A734" s="60" t="s">
        <v>438</v>
      </c>
      <c r="B734" s="60" t="s">
        <v>436</v>
      </c>
      <c r="C734" s="57"/>
      <c r="D734" s="57"/>
      <c r="E734" s="57"/>
      <c r="F734" s="57"/>
      <c r="G734" s="57"/>
      <c r="H734" s="57"/>
      <c r="I734" s="57"/>
      <c r="J734" s="57"/>
      <c r="K734" s="63"/>
      <c r="L734" s="57"/>
      <c r="M734" s="57"/>
      <c r="N734" s="57"/>
      <c r="O734" s="57"/>
      <c r="P734" s="57"/>
      <c r="Q734" s="57"/>
    </row>
    <row r="735">
      <c r="A735" s="60" t="s">
        <v>439</v>
      </c>
      <c r="B735" s="60" t="s">
        <v>487</v>
      </c>
      <c r="C735" s="57"/>
      <c r="D735" s="57"/>
      <c r="E735" s="57"/>
      <c r="F735" s="57"/>
      <c r="G735" s="57"/>
      <c r="H735" s="57"/>
      <c r="I735" s="57"/>
      <c r="J735" s="57"/>
      <c r="K735" s="63"/>
      <c r="L735" s="57"/>
      <c r="M735" s="57"/>
      <c r="N735" s="57"/>
      <c r="O735" s="57"/>
      <c r="P735" s="57"/>
      <c r="Q735" s="57"/>
    </row>
    <row r="736">
      <c r="A736" s="60" t="s">
        <v>441</v>
      </c>
      <c r="B736" s="60">
        <v>1.0</v>
      </c>
      <c r="C736" s="57"/>
      <c r="D736" s="57"/>
      <c r="E736" s="57"/>
      <c r="F736" s="57"/>
      <c r="G736" s="57"/>
      <c r="H736" s="57"/>
      <c r="I736" s="57"/>
      <c r="J736" s="57"/>
      <c r="K736" s="63"/>
      <c r="L736" s="57"/>
      <c r="M736" s="57"/>
      <c r="N736" s="57"/>
      <c r="O736" s="57"/>
      <c r="P736" s="57"/>
      <c r="Q736" s="57"/>
    </row>
    <row r="737">
      <c r="A737" s="60" t="s">
        <v>467</v>
      </c>
      <c r="B737" s="60" t="s">
        <v>494</v>
      </c>
      <c r="C737" s="57"/>
      <c r="D737" s="57"/>
      <c r="E737" s="57"/>
      <c r="F737" s="57"/>
      <c r="G737" s="57"/>
      <c r="H737" s="57"/>
      <c r="I737" s="57"/>
      <c r="J737" s="57"/>
      <c r="K737" s="63"/>
      <c r="L737" s="57"/>
      <c r="M737" s="57"/>
      <c r="N737" s="57"/>
      <c r="O737" s="57"/>
      <c r="P737" s="57"/>
      <c r="Q737" s="57"/>
    </row>
    <row r="738">
      <c r="A738" s="60" t="s">
        <v>488</v>
      </c>
      <c r="B738" s="60" t="s">
        <v>436</v>
      </c>
      <c r="C738" s="57"/>
      <c r="D738" s="57"/>
      <c r="E738" s="57"/>
      <c r="F738" s="57"/>
      <c r="G738" s="57"/>
      <c r="H738" s="57"/>
      <c r="I738" s="57"/>
      <c r="J738" s="57"/>
      <c r="K738" s="63"/>
      <c r="L738" s="57"/>
      <c r="M738" s="57"/>
      <c r="N738" s="57"/>
      <c r="O738" s="57"/>
      <c r="P738" s="57"/>
      <c r="Q738" s="57"/>
    </row>
    <row r="739">
      <c r="A739" s="60" t="s">
        <v>447</v>
      </c>
      <c r="B739" s="60" t="s">
        <v>448</v>
      </c>
      <c r="C739" s="57"/>
      <c r="D739" s="57"/>
      <c r="E739" s="57"/>
      <c r="F739" s="57"/>
      <c r="G739" s="57"/>
      <c r="H739" s="57"/>
      <c r="I739" s="57"/>
      <c r="J739" s="57"/>
      <c r="K739" s="63"/>
      <c r="L739" s="57"/>
      <c r="M739" s="57"/>
      <c r="N739" s="57"/>
      <c r="O739" s="57"/>
      <c r="P739" s="57"/>
      <c r="Q739" s="57"/>
    </row>
    <row r="740">
      <c r="A740" s="60" t="s">
        <v>449</v>
      </c>
      <c r="B740" s="60" t="s">
        <v>450</v>
      </c>
      <c r="C740" s="57"/>
      <c r="D740" s="57"/>
      <c r="E740" s="57"/>
      <c r="F740" s="57"/>
      <c r="G740" s="57"/>
      <c r="H740" s="57"/>
      <c r="I740" s="57"/>
      <c r="J740" s="57"/>
      <c r="K740" s="63"/>
      <c r="L740" s="57"/>
      <c r="M740" s="57"/>
      <c r="N740" s="57"/>
      <c r="O740" s="57"/>
      <c r="P740" s="57"/>
      <c r="Q740" s="57"/>
    </row>
    <row r="741">
      <c r="A741" s="68" t="s">
        <v>253</v>
      </c>
      <c r="B741" s="60" t="s">
        <v>459</v>
      </c>
      <c r="C741" s="57"/>
      <c r="D741" s="57"/>
      <c r="E741" s="57"/>
      <c r="F741" s="57"/>
      <c r="G741" s="57"/>
      <c r="H741" s="57"/>
      <c r="I741" s="57"/>
      <c r="J741" s="57"/>
      <c r="K741" s="63"/>
      <c r="L741" s="57"/>
      <c r="M741" s="57"/>
      <c r="N741" s="57"/>
      <c r="O741" s="57"/>
      <c r="P741" s="57"/>
      <c r="Q741" s="57"/>
    </row>
    <row r="742">
      <c r="A742" s="60" t="s">
        <v>38</v>
      </c>
      <c r="B742" s="26"/>
      <c r="C742" s="57"/>
      <c r="D742" s="57"/>
      <c r="E742" s="65">
        <v>480.0</v>
      </c>
      <c r="F742" s="57">
        <f>ROUNDDOWN(E742*1.1,0)</f>
        <v>528</v>
      </c>
      <c r="G742" s="57">
        <f>ROUNDDOWN(E742*1.21,0)</f>
        <v>580</v>
      </c>
      <c r="H742" s="57">
        <f>ROUNDDOWN(E742*1.33,0)</f>
        <v>638</v>
      </c>
      <c r="I742" s="57">
        <f>ROUNDDOWN(E742*1.46,0)</f>
        <v>700</v>
      </c>
      <c r="J742" s="57">
        <f>ROUNDDOWN(E742*1.6,0)</f>
        <v>768</v>
      </c>
      <c r="K742" s="63">
        <f>ROUNDDOWN(E742*1.76,0)</f>
        <v>844</v>
      </c>
      <c r="L742" s="57">
        <f>ROUNDDOWN(E742*1.93,0)</f>
        <v>926</v>
      </c>
      <c r="M742" s="57">
        <f>ROUNDDOWN(E742*2.12,0)</f>
        <v>1017</v>
      </c>
      <c r="N742" s="57">
        <f>ROUNDDOWN(E742*2.33,0)</f>
        <v>1118</v>
      </c>
      <c r="O742" s="57">
        <f>ROUNDDOWN(E742*2.56,0)</f>
        <v>1228</v>
      </c>
      <c r="P742" s="57">
        <f>ROUNDDOWN(E742*2.81,0)</f>
        <v>1348</v>
      </c>
      <c r="Q742" s="57"/>
    </row>
    <row r="743">
      <c r="A743" s="60" t="s">
        <v>503</v>
      </c>
      <c r="B743" s="26"/>
      <c r="C743" s="57"/>
      <c r="D743" s="57"/>
      <c r="E743" s="65">
        <f t="shared" ref="E743:P743" si="341">E$3</f>
        <v>3</v>
      </c>
      <c r="F743" s="65">
        <f t="shared" si="341"/>
        <v>4</v>
      </c>
      <c r="G743" s="65">
        <f t="shared" si="341"/>
        <v>5</v>
      </c>
      <c r="H743" s="65">
        <f t="shared" si="341"/>
        <v>6</v>
      </c>
      <c r="I743" s="65">
        <f t="shared" si="341"/>
        <v>7</v>
      </c>
      <c r="J743" s="65">
        <f t="shared" si="341"/>
        <v>8</v>
      </c>
      <c r="K743" s="66">
        <f t="shared" si="341"/>
        <v>9</v>
      </c>
      <c r="L743" s="65">
        <f t="shared" si="341"/>
        <v>10</v>
      </c>
      <c r="M743" s="65">
        <f t="shared" si="341"/>
        <v>11</v>
      </c>
      <c r="N743" s="65">
        <f t="shared" si="341"/>
        <v>12</v>
      </c>
      <c r="O743" s="65">
        <f t="shared" si="341"/>
        <v>13</v>
      </c>
      <c r="P743" s="65">
        <f t="shared" si="341"/>
        <v>14</v>
      </c>
      <c r="Q743" s="57"/>
    </row>
    <row r="744">
      <c r="A744" s="60" t="s">
        <v>55</v>
      </c>
      <c r="B744" s="60" t="s">
        <v>430</v>
      </c>
      <c r="C744" s="57"/>
      <c r="D744" s="57"/>
      <c r="E744" s="57"/>
      <c r="F744" s="57"/>
      <c r="G744" s="57"/>
      <c r="H744" s="57"/>
      <c r="I744" s="57"/>
      <c r="J744" s="57"/>
      <c r="K744" s="63"/>
      <c r="L744" s="57"/>
      <c r="M744" s="57"/>
      <c r="N744" s="57"/>
      <c r="O744" s="57"/>
      <c r="P744" s="57"/>
      <c r="Q744" s="57"/>
    </row>
    <row r="745">
      <c r="A745" s="60" t="s">
        <v>56</v>
      </c>
      <c r="B745" s="60" t="s">
        <v>551</v>
      </c>
      <c r="C745" s="57"/>
      <c r="D745" s="57"/>
      <c r="E745" s="57"/>
      <c r="F745" s="57"/>
      <c r="G745" s="57"/>
      <c r="H745" s="57"/>
      <c r="I745" s="57"/>
      <c r="J745" s="57"/>
      <c r="K745" s="63"/>
      <c r="L745" s="57"/>
      <c r="M745" s="57"/>
      <c r="N745" s="57"/>
      <c r="O745" s="57"/>
      <c r="P745" s="57"/>
      <c r="Q745" s="57"/>
    </row>
    <row r="746">
      <c r="A746" s="60" t="s">
        <v>439</v>
      </c>
      <c r="B746" s="60" t="s">
        <v>505</v>
      </c>
      <c r="C746" s="57"/>
      <c r="D746" s="57"/>
      <c r="E746" s="57"/>
      <c r="F746" s="57"/>
      <c r="G746" s="57"/>
      <c r="H746" s="57"/>
      <c r="I746" s="57"/>
      <c r="J746" s="57"/>
      <c r="K746" s="63"/>
      <c r="L746" s="57"/>
      <c r="M746" s="57"/>
      <c r="N746" s="57"/>
      <c r="O746" s="57"/>
      <c r="P746" s="57"/>
      <c r="Q746" s="57"/>
    </row>
    <row r="747">
      <c r="A747" s="60" t="s">
        <v>552</v>
      </c>
      <c r="B747" s="60" t="s">
        <v>433</v>
      </c>
      <c r="C747" s="57"/>
      <c r="D747" s="57"/>
      <c r="E747" s="57"/>
      <c r="F747" s="57"/>
      <c r="G747" s="57"/>
      <c r="H747" s="57"/>
      <c r="I747" s="57"/>
      <c r="J747" s="57"/>
      <c r="K747" s="63"/>
      <c r="L747" s="57"/>
      <c r="M747" s="57"/>
      <c r="N747" s="57"/>
      <c r="O747" s="57"/>
      <c r="P747" s="57"/>
      <c r="Q747" s="57"/>
    </row>
    <row r="748">
      <c r="A748" s="60" t="s">
        <v>506</v>
      </c>
      <c r="B748" s="60">
        <v>2.0</v>
      </c>
      <c r="C748" s="57"/>
      <c r="D748" s="57"/>
      <c r="E748" s="57"/>
      <c r="F748" s="57"/>
      <c r="G748" s="57"/>
      <c r="H748" s="57"/>
      <c r="I748" s="57"/>
      <c r="J748" s="57"/>
      <c r="K748" s="63"/>
      <c r="L748" s="57"/>
      <c r="M748" s="57"/>
      <c r="N748" s="57"/>
      <c r="O748" s="57"/>
      <c r="P748" s="57"/>
      <c r="Q748" s="57"/>
    </row>
    <row r="749">
      <c r="A749" s="60" t="s">
        <v>47</v>
      </c>
      <c r="B749" s="60" t="s">
        <v>637</v>
      </c>
      <c r="C749" s="57"/>
      <c r="D749" s="57"/>
      <c r="E749" s="57"/>
      <c r="F749" s="57"/>
      <c r="G749" s="57"/>
      <c r="H749" s="57"/>
      <c r="I749" s="57"/>
      <c r="J749" s="57"/>
      <c r="K749" s="63"/>
      <c r="L749" s="57"/>
      <c r="M749" s="57"/>
      <c r="N749" s="57"/>
      <c r="O749" s="57"/>
      <c r="P749" s="57"/>
      <c r="Q749" s="57"/>
    </row>
    <row r="750">
      <c r="A750" s="60" t="s">
        <v>508</v>
      </c>
      <c r="B750" s="60" t="s">
        <v>152</v>
      </c>
      <c r="C750" s="57"/>
      <c r="D750" s="57"/>
      <c r="E750" s="57"/>
      <c r="F750" s="57"/>
      <c r="G750" s="57"/>
      <c r="H750" s="57"/>
      <c r="I750" s="57"/>
      <c r="J750" s="57"/>
      <c r="K750" s="63"/>
      <c r="L750" s="57"/>
      <c r="M750" s="57"/>
      <c r="N750" s="57"/>
      <c r="O750" s="57"/>
      <c r="P750" s="57"/>
      <c r="Q750" s="57"/>
    </row>
    <row r="751">
      <c r="A751" s="68" t="s">
        <v>177</v>
      </c>
      <c r="B751" s="60" t="s">
        <v>468</v>
      </c>
      <c r="C751" s="57"/>
      <c r="D751" s="57"/>
      <c r="E751" s="57"/>
      <c r="F751" s="57"/>
      <c r="G751" s="57"/>
      <c r="H751" s="57"/>
      <c r="I751" s="57"/>
      <c r="J751" s="57"/>
      <c r="K751" s="63"/>
      <c r="L751" s="57"/>
      <c r="M751" s="57"/>
      <c r="N751" s="57"/>
      <c r="O751" s="57"/>
      <c r="P751" s="57"/>
      <c r="Q751" s="57"/>
    </row>
    <row r="752">
      <c r="A752" s="60" t="s">
        <v>38</v>
      </c>
      <c r="B752" s="60"/>
      <c r="C752" s="57"/>
      <c r="D752" s="57"/>
      <c r="E752" s="65">
        <v>340.0</v>
      </c>
      <c r="F752" s="57">
        <f t="shared" ref="F752:F753" si="342">ROUNDDOWN(E752*1.1,0)</f>
        <v>374</v>
      </c>
      <c r="G752" s="57">
        <f t="shared" ref="G752:G753" si="343">ROUNDDOWN(E752*1.21,0)</f>
        <v>411</v>
      </c>
      <c r="H752" s="57">
        <f t="shared" ref="H752:H753" si="344">ROUNDDOWN(E752*1.33,0)</f>
        <v>452</v>
      </c>
      <c r="I752" s="57">
        <f t="shared" ref="I752:I753" si="345">ROUNDDOWN(E752*1.46,0)</f>
        <v>496</v>
      </c>
      <c r="J752" s="57">
        <f t="shared" ref="J752:J753" si="346">ROUNDDOWN(E752*1.6,0)</f>
        <v>544</v>
      </c>
      <c r="K752" s="63">
        <f t="shared" ref="K752:K753" si="347">ROUNDDOWN(E752*1.76,0)</f>
        <v>598</v>
      </c>
      <c r="L752" s="57">
        <f t="shared" ref="L752:L753" si="348">ROUNDDOWN(E752*1.93,0)</f>
        <v>656</v>
      </c>
      <c r="M752" s="57">
        <f t="shared" ref="M752:M753" si="349">ROUNDDOWN(E752*2.12,0)</f>
        <v>720</v>
      </c>
      <c r="N752" s="57">
        <f t="shared" ref="N752:N753" si="350">ROUNDDOWN(E752*2.33,0)</f>
        <v>792</v>
      </c>
      <c r="O752" s="57">
        <f t="shared" ref="O752:O753" si="351">ROUNDDOWN(E752*2.56,0)</f>
        <v>870</v>
      </c>
      <c r="P752" s="57">
        <f t="shared" ref="P752:P753" si="352">ROUNDDOWN(E752*2.81,0)</f>
        <v>955</v>
      </c>
      <c r="Q752" s="57"/>
    </row>
    <row r="753">
      <c r="A753" s="60" t="s">
        <v>24</v>
      </c>
      <c r="B753" s="26"/>
      <c r="C753" s="57"/>
      <c r="D753" s="57"/>
      <c r="E753" s="65">
        <v>133.0</v>
      </c>
      <c r="F753" s="57">
        <f t="shared" si="342"/>
        <v>146</v>
      </c>
      <c r="G753" s="57">
        <f t="shared" si="343"/>
        <v>160</v>
      </c>
      <c r="H753" s="57">
        <f t="shared" si="344"/>
        <v>176</v>
      </c>
      <c r="I753" s="57">
        <f t="shared" si="345"/>
        <v>194</v>
      </c>
      <c r="J753" s="57">
        <f t="shared" si="346"/>
        <v>212</v>
      </c>
      <c r="K753" s="63">
        <f t="shared" si="347"/>
        <v>234</v>
      </c>
      <c r="L753" s="57">
        <f t="shared" si="348"/>
        <v>256</v>
      </c>
      <c r="M753" s="57">
        <f t="shared" si="349"/>
        <v>281</v>
      </c>
      <c r="N753" s="57">
        <f t="shared" si="350"/>
        <v>309</v>
      </c>
      <c r="O753" s="57">
        <f t="shared" si="351"/>
        <v>340</v>
      </c>
      <c r="P753" s="57">
        <f t="shared" si="352"/>
        <v>373</v>
      </c>
      <c r="Q753" s="57"/>
    </row>
    <row r="754">
      <c r="A754" s="60" t="s">
        <v>428</v>
      </c>
      <c r="B754" s="60" t="s">
        <v>429</v>
      </c>
      <c r="C754" s="57"/>
      <c r="D754" s="57"/>
      <c r="E754" s="57"/>
      <c r="F754" s="57"/>
      <c r="G754" s="57"/>
      <c r="H754" s="57"/>
      <c r="I754" s="57"/>
      <c r="J754" s="57"/>
      <c r="K754" s="63"/>
      <c r="L754" s="57"/>
      <c r="M754" s="57"/>
      <c r="N754" s="57"/>
      <c r="O754" s="57"/>
      <c r="P754" s="57"/>
      <c r="Q754" s="57"/>
    </row>
    <row r="755">
      <c r="A755" s="60" t="s">
        <v>55</v>
      </c>
      <c r="B755" s="60" t="s">
        <v>430</v>
      </c>
      <c r="C755" s="57"/>
      <c r="D755" s="57"/>
      <c r="E755" s="57"/>
      <c r="F755" s="57"/>
      <c r="G755" s="57"/>
      <c r="H755" s="57"/>
      <c r="I755" s="57"/>
      <c r="J755" s="57"/>
      <c r="K755" s="63"/>
      <c r="L755" s="57"/>
      <c r="M755" s="57"/>
      <c r="N755" s="57"/>
      <c r="O755" s="57"/>
      <c r="P755" s="57"/>
      <c r="Q755" s="57"/>
    </row>
    <row r="756">
      <c r="A756" s="60" t="s">
        <v>51</v>
      </c>
      <c r="B756" s="60" t="s">
        <v>451</v>
      </c>
      <c r="C756" s="57"/>
      <c r="D756" s="57"/>
      <c r="E756" s="57"/>
      <c r="F756" s="57"/>
      <c r="G756" s="57"/>
      <c r="H756" s="57"/>
      <c r="I756" s="57"/>
      <c r="J756" s="57"/>
      <c r="K756" s="63"/>
      <c r="L756" s="57"/>
      <c r="M756" s="57"/>
      <c r="N756" s="57"/>
      <c r="O756" s="57"/>
      <c r="P756" s="57"/>
      <c r="Q756" s="57"/>
    </row>
    <row r="757">
      <c r="A757" s="60" t="s">
        <v>49</v>
      </c>
      <c r="B757" s="60" t="s">
        <v>492</v>
      </c>
      <c r="C757" s="57"/>
      <c r="D757" s="57"/>
      <c r="E757" s="57"/>
      <c r="F757" s="57"/>
      <c r="G757" s="57"/>
      <c r="H757" s="57"/>
      <c r="I757" s="57"/>
      <c r="J757" s="57"/>
      <c r="K757" s="63"/>
      <c r="L757" s="57"/>
      <c r="M757" s="57"/>
      <c r="N757" s="57"/>
      <c r="O757" s="57"/>
      <c r="P757" s="57"/>
      <c r="Q757" s="57"/>
    </row>
    <row r="758">
      <c r="A758" s="60" t="s">
        <v>432</v>
      </c>
      <c r="B758" s="60" t="s">
        <v>430</v>
      </c>
      <c r="C758" s="57"/>
      <c r="D758" s="57"/>
      <c r="E758" s="57"/>
      <c r="F758" s="57"/>
      <c r="G758" s="57"/>
      <c r="H758" s="57"/>
      <c r="I758" s="57"/>
      <c r="J758" s="57"/>
      <c r="K758" s="63"/>
      <c r="L758" s="57"/>
      <c r="M758" s="57"/>
      <c r="N758" s="57"/>
      <c r="O758" s="57"/>
      <c r="P758" s="57"/>
      <c r="Q758" s="57"/>
    </row>
    <row r="759">
      <c r="A759" s="60" t="s">
        <v>422</v>
      </c>
      <c r="B759" s="60" t="s">
        <v>454</v>
      </c>
      <c r="C759" s="57"/>
      <c r="D759" s="57"/>
      <c r="E759" s="57"/>
      <c r="F759" s="57"/>
      <c r="G759" s="57"/>
      <c r="H759" s="57"/>
      <c r="I759" s="57"/>
      <c r="J759" s="57"/>
      <c r="K759" s="63"/>
      <c r="L759" s="57"/>
      <c r="M759" s="57"/>
      <c r="N759" s="57"/>
      <c r="O759" s="57"/>
      <c r="P759" s="57"/>
      <c r="Q759" s="57"/>
    </row>
    <row r="760">
      <c r="A760" s="60" t="s">
        <v>435</v>
      </c>
      <c r="B760" s="60" t="s">
        <v>436</v>
      </c>
      <c r="C760" s="57"/>
      <c r="D760" s="57"/>
      <c r="E760" s="57"/>
      <c r="F760" s="57"/>
      <c r="G760" s="57"/>
      <c r="H760" s="57"/>
      <c r="I760" s="57"/>
      <c r="J760" s="57"/>
      <c r="K760" s="63"/>
      <c r="L760" s="57"/>
      <c r="M760" s="57"/>
      <c r="N760" s="57"/>
      <c r="O760" s="57"/>
      <c r="P760" s="57"/>
      <c r="Q760" s="57"/>
    </row>
    <row r="761">
      <c r="A761" s="60" t="s">
        <v>483</v>
      </c>
      <c r="B761" s="60" t="s">
        <v>443</v>
      </c>
      <c r="C761" s="57"/>
      <c r="D761" s="57"/>
      <c r="E761" s="57"/>
      <c r="F761" s="57"/>
      <c r="G761" s="57"/>
      <c r="H761" s="57"/>
      <c r="I761" s="57"/>
      <c r="J761" s="57"/>
      <c r="K761" s="63"/>
      <c r="L761" s="57"/>
      <c r="M761" s="57"/>
      <c r="N761" s="57"/>
      <c r="O761" s="57"/>
      <c r="P761" s="57"/>
      <c r="Q761" s="57"/>
    </row>
    <row r="762">
      <c r="A762" s="60" t="s">
        <v>53</v>
      </c>
      <c r="B762" s="60" t="s">
        <v>429</v>
      </c>
      <c r="C762" s="57"/>
      <c r="D762" s="57"/>
      <c r="E762" s="57"/>
      <c r="F762" s="57"/>
      <c r="G762" s="57"/>
      <c r="H762" s="57"/>
      <c r="I762" s="57"/>
      <c r="J762" s="57"/>
      <c r="K762" s="63"/>
      <c r="L762" s="57"/>
      <c r="M762" s="57"/>
      <c r="N762" s="57"/>
      <c r="O762" s="57"/>
      <c r="P762" s="57"/>
      <c r="Q762" s="57"/>
    </row>
    <row r="763">
      <c r="A763" s="60" t="s">
        <v>50</v>
      </c>
      <c r="B763" s="60" t="s">
        <v>425</v>
      </c>
      <c r="C763" s="57"/>
      <c r="D763" s="57"/>
      <c r="E763" s="57"/>
      <c r="F763" s="57"/>
      <c r="G763" s="57"/>
      <c r="H763" s="57"/>
      <c r="I763" s="57"/>
      <c r="J763" s="57"/>
      <c r="K763" s="63"/>
      <c r="L763" s="57"/>
      <c r="M763" s="57"/>
      <c r="N763" s="57"/>
      <c r="O763" s="57"/>
      <c r="P763" s="57"/>
      <c r="Q763" s="57"/>
    </row>
    <row r="764">
      <c r="A764" s="60" t="s">
        <v>438</v>
      </c>
      <c r="B764" s="60" t="s">
        <v>436</v>
      </c>
      <c r="C764" s="57"/>
      <c r="D764" s="57"/>
      <c r="E764" s="57"/>
      <c r="F764" s="57"/>
      <c r="G764" s="57"/>
      <c r="H764" s="57"/>
      <c r="I764" s="57"/>
      <c r="J764" s="57"/>
      <c r="K764" s="63"/>
      <c r="L764" s="57"/>
      <c r="M764" s="57"/>
      <c r="N764" s="57"/>
      <c r="O764" s="57"/>
      <c r="P764" s="57"/>
      <c r="Q764" s="57"/>
    </row>
    <row r="765">
      <c r="A765" s="60" t="s">
        <v>439</v>
      </c>
      <c r="B765" s="60" t="s">
        <v>440</v>
      </c>
      <c r="C765" s="57"/>
      <c r="D765" s="57"/>
      <c r="E765" s="57"/>
      <c r="F765" s="57"/>
      <c r="G765" s="57"/>
      <c r="H765" s="57"/>
      <c r="I765" s="57"/>
      <c r="J765" s="57"/>
      <c r="K765" s="63"/>
      <c r="L765" s="57"/>
      <c r="M765" s="57"/>
      <c r="N765" s="57"/>
      <c r="O765" s="57"/>
      <c r="P765" s="57"/>
      <c r="Q765" s="57"/>
    </row>
    <row r="766">
      <c r="A766" s="60" t="s">
        <v>441</v>
      </c>
      <c r="B766" s="60">
        <v>5.0</v>
      </c>
      <c r="C766" s="57"/>
      <c r="D766" s="57"/>
      <c r="E766" s="57"/>
      <c r="F766" s="57"/>
      <c r="G766" s="57"/>
      <c r="H766" s="57"/>
      <c r="I766" s="57"/>
      <c r="J766" s="57"/>
      <c r="K766" s="63"/>
      <c r="L766" s="57"/>
      <c r="M766" s="57"/>
      <c r="N766" s="57"/>
      <c r="O766" s="57"/>
      <c r="P766" s="57"/>
      <c r="Q766" s="57"/>
    </row>
    <row r="767">
      <c r="A767" s="60" t="s">
        <v>444</v>
      </c>
      <c r="B767" s="60" t="s">
        <v>638</v>
      </c>
      <c r="C767" s="57"/>
      <c r="D767" s="57"/>
      <c r="E767" s="57"/>
      <c r="F767" s="57"/>
      <c r="G767" s="57"/>
      <c r="H767" s="57"/>
      <c r="I767" s="57"/>
      <c r="J767" s="57"/>
      <c r="K767" s="63"/>
      <c r="L767" s="57"/>
      <c r="M767" s="57"/>
      <c r="N767" s="57"/>
      <c r="O767" s="57"/>
      <c r="P767" s="57"/>
      <c r="Q767" s="57"/>
    </row>
    <row r="768">
      <c r="A768" s="60" t="s">
        <v>446</v>
      </c>
      <c r="B768" s="60" t="s">
        <v>443</v>
      </c>
      <c r="C768" s="57"/>
      <c r="D768" s="57"/>
      <c r="E768" s="57"/>
      <c r="F768" s="57"/>
      <c r="G768" s="57"/>
      <c r="H768" s="57"/>
      <c r="I768" s="57"/>
      <c r="J768" s="57"/>
      <c r="K768" s="63"/>
      <c r="L768" s="57"/>
      <c r="M768" s="57"/>
      <c r="N768" s="57"/>
      <c r="O768" s="57"/>
      <c r="P768" s="57"/>
      <c r="Q768" s="57"/>
    </row>
    <row r="769">
      <c r="A769" s="76" t="s">
        <v>397</v>
      </c>
      <c r="B769" s="60" t="s">
        <v>416</v>
      </c>
      <c r="C769" s="57"/>
      <c r="D769" s="57"/>
      <c r="E769" s="57"/>
      <c r="F769" s="57"/>
      <c r="G769" s="57"/>
      <c r="H769" s="57"/>
      <c r="I769" s="57"/>
      <c r="J769" s="57"/>
      <c r="K769" s="63"/>
      <c r="L769" s="57"/>
      <c r="M769" s="57"/>
      <c r="N769" s="57"/>
      <c r="O769" s="57"/>
      <c r="P769" s="57"/>
      <c r="Q769" s="57"/>
    </row>
    <row r="770">
      <c r="A770" s="60" t="s">
        <v>35</v>
      </c>
      <c r="B770" s="60"/>
      <c r="C770" s="57"/>
      <c r="D770" s="57"/>
      <c r="E770" s="57"/>
      <c r="F770" s="57"/>
      <c r="G770" s="57"/>
      <c r="H770" s="65">
        <v>106.0</v>
      </c>
      <c r="I770" s="57">
        <f>ROUNDDOWN(H770*1.1,0)</f>
        <v>116</v>
      </c>
      <c r="J770" s="57">
        <f>ROUNDDOWN(H770*1.21,0)</f>
        <v>128</v>
      </c>
      <c r="K770" s="63">
        <f>ROUNDDOWN(H770*1.33,0)</f>
        <v>140</v>
      </c>
      <c r="L770" s="57">
        <f>ROUNDDOWN(H770*1.46,0)</f>
        <v>154</v>
      </c>
      <c r="M770" s="57">
        <f>ROUNDDOWN(H770*1.6,0)</f>
        <v>169</v>
      </c>
      <c r="N770" s="57">
        <f>ROUNDDOWN(H770*1.76,0)</f>
        <v>186</v>
      </c>
      <c r="O770" s="57">
        <f>ROUNDDOWN(H770*1.93,0)</f>
        <v>204</v>
      </c>
      <c r="P770" s="57">
        <f>ROUNDDOWN(H770*2.12,0)</f>
        <v>224</v>
      </c>
      <c r="Q770" s="57"/>
    </row>
    <row r="771">
      <c r="A771" s="60" t="s">
        <v>639</v>
      </c>
      <c r="B771" s="60"/>
      <c r="C771" s="57"/>
      <c r="D771" s="57"/>
      <c r="E771" s="57"/>
      <c r="F771" s="57"/>
      <c r="G771" s="57"/>
      <c r="H771" s="65">
        <f t="shared" ref="H771:P771" si="353">ROUNDUP(H770*0.17,0)</f>
        <v>19</v>
      </c>
      <c r="I771" s="65">
        <f t="shared" si="353"/>
        <v>20</v>
      </c>
      <c r="J771" s="65">
        <f t="shared" si="353"/>
        <v>22</v>
      </c>
      <c r="K771" s="66">
        <f t="shared" si="353"/>
        <v>24</v>
      </c>
      <c r="L771" s="65">
        <f t="shared" si="353"/>
        <v>27</v>
      </c>
      <c r="M771" s="65">
        <f t="shared" si="353"/>
        <v>29</v>
      </c>
      <c r="N771" s="65">
        <f t="shared" si="353"/>
        <v>32</v>
      </c>
      <c r="O771" s="65">
        <f t="shared" si="353"/>
        <v>35</v>
      </c>
      <c r="P771" s="65">
        <f t="shared" si="353"/>
        <v>39</v>
      </c>
      <c r="Q771" s="57"/>
    </row>
    <row r="772">
      <c r="A772" s="60" t="s">
        <v>62</v>
      </c>
      <c r="B772" s="60" t="s">
        <v>640</v>
      </c>
      <c r="C772" s="57"/>
      <c r="D772" s="57"/>
      <c r="E772" s="57"/>
      <c r="F772" s="57"/>
      <c r="G772" s="57"/>
      <c r="H772" s="57"/>
      <c r="I772" s="57"/>
      <c r="J772" s="57"/>
      <c r="K772" s="63"/>
      <c r="L772" s="57"/>
      <c r="M772" s="57"/>
      <c r="N772" s="57"/>
      <c r="O772" s="57"/>
      <c r="P772" s="57"/>
      <c r="Q772" s="57"/>
    </row>
    <row r="773">
      <c r="A773" s="60" t="s">
        <v>80</v>
      </c>
      <c r="B773" s="60" t="s">
        <v>429</v>
      </c>
      <c r="C773" s="57"/>
      <c r="D773" s="57"/>
      <c r="E773" s="57"/>
      <c r="F773" s="57"/>
      <c r="G773" s="57"/>
      <c r="H773" s="57"/>
      <c r="I773" s="57"/>
      <c r="J773" s="57"/>
      <c r="K773" s="63"/>
      <c r="L773" s="57"/>
      <c r="M773" s="57"/>
      <c r="N773" s="57"/>
      <c r="O773" s="57"/>
      <c r="P773" s="57"/>
      <c r="Q773" s="57"/>
    </row>
    <row r="774">
      <c r="A774" s="60" t="s">
        <v>641</v>
      </c>
      <c r="B774" s="60" t="s">
        <v>433</v>
      </c>
      <c r="C774" s="57"/>
      <c r="D774" s="57"/>
      <c r="E774" s="57"/>
      <c r="F774" s="57"/>
      <c r="G774" s="57"/>
      <c r="H774" s="57"/>
      <c r="I774" s="57"/>
      <c r="J774" s="57"/>
      <c r="K774" s="63"/>
      <c r="L774" s="57"/>
      <c r="M774" s="57"/>
      <c r="N774" s="57"/>
      <c r="O774" s="57"/>
      <c r="P774" s="57"/>
      <c r="Q774" s="57"/>
    </row>
    <row r="775">
      <c r="A775" s="60" t="s">
        <v>642</v>
      </c>
      <c r="B775" s="60" t="s">
        <v>433</v>
      </c>
      <c r="C775" s="57"/>
      <c r="D775" s="57"/>
      <c r="E775" s="57"/>
      <c r="F775" s="57"/>
      <c r="G775" s="57"/>
      <c r="H775" s="57"/>
      <c r="I775" s="57"/>
      <c r="J775" s="57"/>
      <c r="K775" s="63"/>
      <c r="L775" s="57"/>
      <c r="M775" s="57"/>
      <c r="N775" s="57"/>
      <c r="O775" s="57"/>
      <c r="P775" s="57"/>
      <c r="Q775" s="57"/>
    </row>
    <row r="776">
      <c r="A776" s="60" t="s">
        <v>50</v>
      </c>
      <c r="B776" s="60" t="s">
        <v>425</v>
      </c>
      <c r="C776" s="57"/>
      <c r="D776" s="57"/>
      <c r="E776" s="57"/>
      <c r="F776" s="57"/>
      <c r="G776" s="57"/>
      <c r="H776" s="57"/>
      <c r="I776" s="57"/>
      <c r="J776" s="57"/>
      <c r="K776" s="63"/>
      <c r="L776" s="57"/>
      <c r="M776" s="57"/>
      <c r="N776" s="57"/>
      <c r="O776" s="57"/>
      <c r="P776" s="57"/>
      <c r="Q776" s="57"/>
    </row>
    <row r="777">
      <c r="A777" s="60" t="s">
        <v>643</v>
      </c>
      <c r="B777" s="82">
        <v>3.6</v>
      </c>
      <c r="C777" s="57"/>
      <c r="D777" s="57"/>
      <c r="E777" s="57"/>
      <c r="F777" s="57"/>
      <c r="G777" s="57"/>
      <c r="H777" s="57"/>
      <c r="I777" s="57"/>
      <c r="J777" s="57"/>
      <c r="K777" s="63"/>
      <c r="L777" s="57"/>
      <c r="M777" s="57"/>
      <c r="N777" s="57"/>
      <c r="O777" s="57"/>
      <c r="P777" s="57"/>
      <c r="Q777" s="57"/>
    </row>
    <row r="778">
      <c r="A778" s="76" t="s">
        <v>234</v>
      </c>
      <c r="B778" s="60" t="s">
        <v>459</v>
      </c>
      <c r="C778" s="57"/>
      <c r="D778" s="57"/>
      <c r="E778" s="57"/>
      <c r="F778" s="57"/>
      <c r="G778" s="57"/>
      <c r="H778" s="57"/>
      <c r="I778" s="57"/>
      <c r="J778" s="57"/>
      <c r="K778" s="63"/>
      <c r="L778" s="57"/>
      <c r="M778" s="57"/>
      <c r="N778" s="57"/>
      <c r="O778" s="57"/>
      <c r="P778" s="57"/>
      <c r="Q778" s="57"/>
    </row>
    <row r="779">
      <c r="A779" s="60" t="s">
        <v>35</v>
      </c>
      <c r="B779" s="60"/>
      <c r="C779" s="57"/>
      <c r="D779" s="57"/>
      <c r="E779" s="57"/>
      <c r="F779" s="57"/>
      <c r="G779" s="57"/>
      <c r="H779" s="65">
        <v>57.0</v>
      </c>
      <c r="I779" s="57">
        <f>ROUNDDOWN(H779*1.1,0)</f>
        <v>62</v>
      </c>
      <c r="J779" s="57">
        <f>ROUNDDOWN(H779*1.21,0)</f>
        <v>68</v>
      </c>
      <c r="K779" s="63">
        <f>ROUNDDOWN(H779*1.33,0)</f>
        <v>75</v>
      </c>
      <c r="L779" s="57">
        <f>ROUNDDOWN(H779*1.46,0)</f>
        <v>83</v>
      </c>
      <c r="M779" s="57">
        <f>ROUNDDOWN(H779*1.6,0)</f>
        <v>91</v>
      </c>
      <c r="N779" s="57">
        <f>ROUNDDOWN(H779*1.76,0)</f>
        <v>100</v>
      </c>
      <c r="O779" s="57">
        <f>ROUNDDOWN(H779*1.93,0)</f>
        <v>110</v>
      </c>
      <c r="P779" s="57">
        <f>ROUNDDOWN(H779*2.12,0)</f>
        <v>120</v>
      </c>
      <c r="Q779" s="57"/>
    </row>
    <row r="780">
      <c r="A780" s="60" t="s">
        <v>639</v>
      </c>
      <c r="B780" s="60"/>
      <c r="C780" s="57"/>
      <c r="D780" s="57"/>
      <c r="E780" s="57"/>
      <c r="F780" s="57"/>
      <c r="G780" s="57"/>
      <c r="H780" s="65">
        <f t="shared" ref="H780:P780" si="354">ROUNDUP(H779*0.3,0)</f>
        <v>18</v>
      </c>
      <c r="I780" s="65">
        <f t="shared" si="354"/>
        <v>19</v>
      </c>
      <c r="J780" s="65">
        <f t="shared" si="354"/>
        <v>21</v>
      </c>
      <c r="K780" s="66">
        <f t="shared" si="354"/>
        <v>23</v>
      </c>
      <c r="L780" s="65">
        <f t="shared" si="354"/>
        <v>25</v>
      </c>
      <c r="M780" s="65">
        <f t="shared" si="354"/>
        <v>28</v>
      </c>
      <c r="N780" s="65">
        <f t="shared" si="354"/>
        <v>30</v>
      </c>
      <c r="O780" s="65">
        <f t="shared" si="354"/>
        <v>33</v>
      </c>
      <c r="P780" s="65">
        <f t="shared" si="354"/>
        <v>36</v>
      </c>
      <c r="Q780" s="57"/>
    </row>
    <row r="781">
      <c r="A781" s="60" t="s">
        <v>62</v>
      </c>
      <c r="B781" s="60" t="s">
        <v>644</v>
      </c>
      <c r="C781" s="57"/>
      <c r="D781" s="57"/>
      <c r="E781" s="57"/>
      <c r="F781" s="57"/>
      <c r="G781" s="57"/>
      <c r="H781" s="57"/>
      <c r="I781" s="57"/>
      <c r="J781" s="57"/>
      <c r="K781" s="63"/>
      <c r="L781" s="57"/>
      <c r="M781" s="57"/>
      <c r="N781" s="57"/>
      <c r="O781" s="57"/>
      <c r="P781" s="57"/>
      <c r="Q781" s="57"/>
    </row>
    <row r="782">
      <c r="A782" s="60" t="s">
        <v>80</v>
      </c>
      <c r="B782" s="60" t="s">
        <v>499</v>
      </c>
      <c r="C782" s="57"/>
      <c r="D782" s="57"/>
      <c r="E782" s="57"/>
      <c r="F782" s="57"/>
      <c r="G782" s="57"/>
      <c r="H782" s="57"/>
      <c r="I782" s="57"/>
      <c r="J782" s="57"/>
      <c r="K782" s="63"/>
      <c r="L782" s="57"/>
      <c r="M782" s="57"/>
      <c r="N782" s="57"/>
      <c r="O782" s="57"/>
      <c r="P782" s="57"/>
      <c r="Q782" s="57"/>
    </row>
    <row r="783">
      <c r="A783" s="60" t="s">
        <v>641</v>
      </c>
      <c r="B783" s="60" t="s">
        <v>430</v>
      </c>
      <c r="C783" s="57"/>
      <c r="D783" s="57"/>
      <c r="E783" s="57"/>
      <c r="F783" s="57"/>
      <c r="G783" s="57"/>
      <c r="H783" s="57"/>
      <c r="I783" s="57"/>
      <c r="J783" s="57"/>
      <c r="K783" s="63"/>
      <c r="L783" s="57"/>
      <c r="M783" s="57"/>
      <c r="N783" s="57"/>
      <c r="O783" s="57"/>
      <c r="P783" s="57"/>
      <c r="Q783" s="57"/>
    </row>
    <row r="784">
      <c r="A784" s="60" t="s">
        <v>642</v>
      </c>
      <c r="B784" s="60" t="s">
        <v>430</v>
      </c>
      <c r="C784" s="57"/>
      <c r="D784" s="57"/>
      <c r="E784" s="57"/>
      <c r="F784" s="57"/>
      <c r="G784" s="57"/>
      <c r="H784" s="57"/>
      <c r="I784" s="57"/>
      <c r="J784" s="57"/>
      <c r="K784" s="63"/>
      <c r="L784" s="57"/>
      <c r="M784" s="57"/>
      <c r="N784" s="57"/>
      <c r="O784" s="57"/>
      <c r="P784" s="57"/>
      <c r="Q784" s="57"/>
    </row>
    <row r="785">
      <c r="A785" s="60" t="s">
        <v>50</v>
      </c>
      <c r="B785" s="60" t="s">
        <v>425</v>
      </c>
      <c r="C785" s="57"/>
      <c r="D785" s="57"/>
      <c r="E785" s="57"/>
      <c r="F785" s="57"/>
      <c r="G785" s="57"/>
      <c r="H785" s="57"/>
      <c r="I785" s="57"/>
      <c r="J785" s="57"/>
      <c r="K785" s="63"/>
      <c r="L785" s="57"/>
      <c r="M785" s="57"/>
      <c r="N785" s="57"/>
      <c r="O785" s="57"/>
      <c r="P785" s="57"/>
      <c r="Q785" s="57"/>
    </row>
    <row r="786">
      <c r="A786" s="83" t="s">
        <v>327</v>
      </c>
      <c r="B786" s="60" t="s">
        <v>459</v>
      </c>
      <c r="C786" s="57"/>
      <c r="D786" s="57"/>
      <c r="E786" s="57"/>
      <c r="F786" s="57"/>
      <c r="G786" s="57"/>
      <c r="H786" s="57"/>
      <c r="I786" s="57"/>
      <c r="J786" s="57"/>
      <c r="K786" s="63"/>
      <c r="L786" s="57"/>
      <c r="M786" s="57"/>
      <c r="N786" s="57"/>
      <c r="O786" s="57"/>
      <c r="P786" s="57"/>
      <c r="Q786" s="57"/>
    </row>
    <row r="787">
      <c r="A787" s="60" t="s">
        <v>38</v>
      </c>
      <c r="B787" s="60"/>
      <c r="C787" s="57"/>
      <c r="D787" s="57"/>
      <c r="E787" s="57"/>
      <c r="F787" s="57"/>
      <c r="G787" s="57"/>
      <c r="H787" s="57"/>
      <c r="I787" s="57"/>
      <c r="J787" s="57"/>
      <c r="K787" s="66">
        <v>440.0</v>
      </c>
      <c r="L787" s="57">
        <f t="shared" ref="L787:L788" si="355">ROUNDDOWN(K787*1.1,0)</f>
        <v>484</v>
      </c>
      <c r="M787" s="57">
        <f t="shared" ref="M787:M788" si="356">ROUNDDOWN(K787*1.21,0)</f>
        <v>532</v>
      </c>
      <c r="N787" s="57">
        <f t="shared" ref="N787:N788" si="357">ROUNDDOWN(K787*1.33,0)</f>
        <v>585</v>
      </c>
      <c r="O787" s="57">
        <f t="shared" ref="O787:O788" si="358">ROUNDDOWN(K787*1.46,0)</f>
        <v>642</v>
      </c>
      <c r="P787" s="57">
        <f t="shared" ref="P787:P788" si="359">ROUNDDOWN(K787*1.57,0)</f>
        <v>690</v>
      </c>
      <c r="Q787" s="57"/>
    </row>
    <row r="788">
      <c r="A788" s="60" t="s">
        <v>24</v>
      </c>
      <c r="B788" s="60"/>
      <c r="C788" s="57"/>
      <c r="D788" s="57"/>
      <c r="E788" s="57"/>
      <c r="F788" s="57"/>
      <c r="G788" s="57"/>
      <c r="H788" s="57"/>
      <c r="I788" s="57"/>
      <c r="J788" s="57"/>
      <c r="K788" s="66">
        <v>111.0</v>
      </c>
      <c r="L788" s="57">
        <f t="shared" si="355"/>
        <v>122</v>
      </c>
      <c r="M788" s="57">
        <f t="shared" si="356"/>
        <v>134</v>
      </c>
      <c r="N788" s="57">
        <f t="shared" si="357"/>
        <v>147</v>
      </c>
      <c r="O788" s="57">
        <f t="shared" si="358"/>
        <v>162</v>
      </c>
      <c r="P788" s="57">
        <f t="shared" si="359"/>
        <v>174</v>
      </c>
      <c r="Q788" s="57"/>
    </row>
    <row r="789">
      <c r="A789" s="60" t="s">
        <v>428</v>
      </c>
      <c r="B789" s="60" t="s">
        <v>469</v>
      </c>
      <c r="C789" s="57"/>
      <c r="D789" s="57"/>
      <c r="E789" s="57"/>
      <c r="F789" s="57"/>
      <c r="G789" s="57"/>
      <c r="H789" s="57"/>
      <c r="I789" s="57"/>
      <c r="J789" s="57"/>
      <c r="K789" s="63"/>
      <c r="L789" s="57"/>
      <c r="M789" s="57"/>
      <c r="N789" s="57"/>
      <c r="O789" s="57"/>
      <c r="P789" s="57"/>
      <c r="Q789" s="57"/>
    </row>
    <row r="790">
      <c r="A790" s="60" t="s">
        <v>55</v>
      </c>
      <c r="B790" s="60" t="s">
        <v>430</v>
      </c>
      <c r="C790" s="57"/>
      <c r="D790" s="57"/>
      <c r="E790" s="57"/>
      <c r="F790" s="57"/>
      <c r="G790" s="57"/>
      <c r="H790" s="57"/>
      <c r="I790" s="57"/>
      <c r="J790" s="57"/>
      <c r="K790" s="63"/>
      <c r="L790" s="57"/>
      <c r="M790" s="57"/>
      <c r="N790" s="57"/>
      <c r="O790" s="57"/>
      <c r="P790" s="57"/>
      <c r="Q790" s="57"/>
    </row>
    <row r="791">
      <c r="A791" s="60" t="s">
        <v>51</v>
      </c>
      <c r="B791" s="60" t="s">
        <v>451</v>
      </c>
      <c r="C791" s="57"/>
      <c r="D791" s="57"/>
      <c r="E791" s="57"/>
      <c r="F791" s="57"/>
      <c r="G791" s="57"/>
      <c r="H791" s="57"/>
      <c r="I791" s="57"/>
      <c r="J791" s="57"/>
      <c r="K791" s="63"/>
      <c r="L791" s="57"/>
      <c r="M791" s="57"/>
      <c r="N791" s="57"/>
      <c r="O791" s="57"/>
      <c r="P791" s="57"/>
      <c r="Q791" s="57"/>
    </row>
    <row r="792">
      <c r="A792" s="60" t="s">
        <v>49</v>
      </c>
      <c r="B792" s="60" t="s">
        <v>453</v>
      </c>
      <c r="C792" s="57"/>
      <c r="D792" s="57"/>
      <c r="E792" s="57"/>
      <c r="F792" s="57"/>
      <c r="G792" s="57"/>
      <c r="H792" s="57"/>
      <c r="I792" s="57"/>
      <c r="J792" s="57"/>
      <c r="K792" s="63"/>
      <c r="L792" s="57"/>
      <c r="M792" s="57"/>
      <c r="N792" s="57"/>
      <c r="O792" s="57"/>
      <c r="P792" s="57"/>
      <c r="Q792" s="57"/>
    </row>
    <row r="793">
      <c r="A793" s="60" t="s">
        <v>432</v>
      </c>
      <c r="B793" s="60" t="s">
        <v>645</v>
      </c>
      <c r="C793" s="57"/>
      <c r="D793" s="57"/>
      <c r="E793" s="57"/>
      <c r="F793" s="57"/>
      <c r="G793" s="57"/>
      <c r="H793" s="57"/>
      <c r="I793" s="57"/>
      <c r="J793" s="57"/>
      <c r="K793" s="63"/>
      <c r="L793" s="57"/>
      <c r="M793" s="57"/>
      <c r="N793" s="57"/>
      <c r="O793" s="57"/>
      <c r="P793" s="57"/>
      <c r="Q793" s="57"/>
    </row>
    <row r="794">
      <c r="A794" s="60" t="s">
        <v>422</v>
      </c>
      <c r="B794" s="60" t="s">
        <v>434</v>
      </c>
      <c r="C794" s="57"/>
      <c r="D794" s="57"/>
      <c r="E794" s="57"/>
      <c r="F794" s="57"/>
      <c r="G794" s="57"/>
      <c r="H794" s="57"/>
      <c r="I794" s="57"/>
      <c r="J794" s="57"/>
      <c r="K794" s="63"/>
      <c r="L794" s="57"/>
      <c r="M794" s="57"/>
      <c r="N794" s="57"/>
      <c r="O794" s="57"/>
      <c r="P794" s="57"/>
      <c r="Q794" s="57"/>
    </row>
    <row r="795">
      <c r="A795" s="60" t="s">
        <v>435</v>
      </c>
      <c r="B795" s="60" t="s">
        <v>472</v>
      </c>
      <c r="C795" s="57"/>
      <c r="D795" s="57"/>
      <c r="E795" s="57"/>
      <c r="F795" s="57"/>
      <c r="G795" s="57"/>
      <c r="H795" s="57"/>
      <c r="I795" s="57"/>
      <c r="J795" s="57"/>
      <c r="K795" s="63"/>
      <c r="L795" s="57"/>
      <c r="M795" s="57"/>
      <c r="N795" s="57"/>
      <c r="O795" s="57"/>
      <c r="P795" s="57"/>
      <c r="Q795" s="57"/>
    </row>
    <row r="796">
      <c r="A796" s="60" t="s">
        <v>646</v>
      </c>
      <c r="B796" s="60" t="s">
        <v>450</v>
      </c>
      <c r="C796" s="57"/>
      <c r="D796" s="57"/>
      <c r="E796" s="57"/>
      <c r="F796" s="57"/>
      <c r="G796" s="57"/>
      <c r="H796" s="57"/>
      <c r="I796" s="57"/>
      <c r="J796" s="57"/>
      <c r="K796" s="63"/>
      <c r="L796" s="57"/>
      <c r="M796" s="57"/>
      <c r="N796" s="57"/>
      <c r="O796" s="57"/>
      <c r="P796" s="57"/>
      <c r="Q796" s="57"/>
    </row>
    <row r="797">
      <c r="A797" s="60" t="s">
        <v>647</v>
      </c>
      <c r="B797" s="60" t="s">
        <v>456</v>
      </c>
      <c r="C797" s="57"/>
      <c r="D797" s="57"/>
      <c r="E797" s="57"/>
      <c r="F797" s="57"/>
      <c r="G797" s="57"/>
      <c r="H797" s="57"/>
      <c r="I797" s="57"/>
      <c r="J797" s="57"/>
      <c r="K797" s="63"/>
      <c r="L797" s="57"/>
      <c r="M797" s="57"/>
      <c r="N797" s="57"/>
      <c r="O797" s="57"/>
      <c r="P797" s="57"/>
      <c r="Q797" s="57"/>
    </row>
    <row r="798">
      <c r="A798" s="60" t="s">
        <v>483</v>
      </c>
      <c r="B798" s="60" t="s">
        <v>583</v>
      </c>
      <c r="C798" s="57"/>
      <c r="D798" s="57"/>
      <c r="E798" s="57"/>
      <c r="F798" s="57"/>
      <c r="G798" s="57"/>
      <c r="H798" s="57"/>
      <c r="I798" s="57"/>
      <c r="J798" s="57"/>
      <c r="K798" s="63"/>
      <c r="L798" s="57"/>
      <c r="M798" s="57"/>
      <c r="N798" s="57"/>
      <c r="O798" s="57"/>
      <c r="P798" s="57"/>
      <c r="Q798" s="57"/>
    </row>
    <row r="799">
      <c r="A799" s="60" t="s">
        <v>523</v>
      </c>
      <c r="B799" s="60" t="s">
        <v>583</v>
      </c>
      <c r="C799" s="57"/>
      <c r="D799" s="57"/>
      <c r="E799" s="57"/>
      <c r="F799" s="57"/>
      <c r="G799" s="57"/>
      <c r="H799" s="57"/>
      <c r="I799" s="57"/>
      <c r="J799" s="57"/>
      <c r="K799" s="63"/>
      <c r="L799" s="57"/>
      <c r="M799" s="57"/>
      <c r="N799" s="57"/>
      <c r="O799" s="57"/>
      <c r="P799" s="57"/>
      <c r="Q799" s="57"/>
    </row>
    <row r="800">
      <c r="A800" s="60" t="s">
        <v>648</v>
      </c>
      <c r="B800" s="60" t="s">
        <v>487</v>
      </c>
      <c r="C800" s="57"/>
      <c r="D800" s="57"/>
      <c r="E800" s="57"/>
      <c r="F800" s="57"/>
      <c r="G800" s="57"/>
      <c r="H800" s="57"/>
      <c r="I800" s="57"/>
      <c r="J800" s="57"/>
      <c r="K800" s="63"/>
      <c r="L800" s="57"/>
      <c r="M800" s="57"/>
      <c r="N800" s="57"/>
      <c r="O800" s="57"/>
      <c r="P800" s="57"/>
      <c r="Q800" s="57"/>
    </row>
    <row r="801">
      <c r="A801" s="60" t="s">
        <v>54</v>
      </c>
      <c r="B801" s="60" t="s">
        <v>649</v>
      </c>
      <c r="C801" s="57"/>
      <c r="D801" s="57"/>
      <c r="E801" s="57"/>
      <c r="F801" s="57"/>
      <c r="G801" s="57"/>
      <c r="H801" s="57"/>
      <c r="I801" s="57"/>
      <c r="J801" s="57"/>
      <c r="K801" s="63"/>
      <c r="L801" s="57"/>
      <c r="M801" s="57"/>
      <c r="N801" s="57"/>
      <c r="O801" s="57"/>
      <c r="P801" s="57"/>
      <c r="Q801" s="57"/>
    </row>
    <row r="802">
      <c r="A802" s="60" t="s">
        <v>526</v>
      </c>
      <c r="B802" s="60" t="s">
        <v>478</v>
      </c>
      <c r="C802" s="57"/>
      <c r="D802" s="57"/>
      <c r="E802" s="57"/>
      <c r="F802" s="57"/>
      <c r="G802" s="57"/>
      <c r="H802" s="57"/>
      <c r="I802" s="57"/>
      <c r="J802" s="57"/>
      <c r="K802" s="63"/>
      <c r="L802" s="57"/>
      <c r="M802" s="57"/>
      <c r="N802" s="57"/>
      <c r="O802" s="57"/>
      <c r="P802" s="57"/>
      <c r="Q802" s="57"/>
    </row>
    <row r="803">
      <c r="A803" s="60" t="s">
        <v>53</v>
      </c>
      <c r="B803" s="60" t="s">
        <v>481</v>
      </c>
      <c r="C803" s="57"/>
      <c r="D803" s="57"/>
      <c r="E803" s="57"/>
      <c r="F803" s="57"/>
      <c r="G803" s="57"/>
      <c r="H803" s="57"/>
      <c r="I803" s="57"/>
      <c r="J803" s="57"/>
      <c r="K803" s="63"/>
      <c r="L803" s="57"/>
      <c r="M803" s="57"/>
      <c r="N803" s="57"/>
      <c r="O803" s="57"/>
      <c r="P803" s="57"/>
      <c r="Q803" s="57"/>
    </row>
    <row r="804">
      <c r="A804" s="60" t="s">
        <v>50</v>
      </c>
      <c r="B804" s="60" t="s">
        <v>425</v>
      </c>
      <c r="C804" s="57"/>
      <c r="D804" s="57"/>
      <c r="E804" s="57"/>
      <c r="F804" s="57"/>
      <c r="G804" s="57"/>
      <c r="H804" s="57"/>
      <c r="I804" s="57"/>
      <c r="J804" s="57"/>
      <c r="K804" s="63"/>
      <c r="L804" s="57"/>
      <c r="M804" s="57"/>
      <c r="N804" s="57"/>
      <c r="O804" s="57"/>
      <c r="P804" s="57"/>
      <c r="Q804" s="57"/>
    </row>
    <row r="805">
      <c r="A805" s="60" t="s">
        <v>438</v>
      </c>
      <c r="B805" s="60" t="s">
        <v>436</v>
      </c>
      <c r="C805" s="57"/>
      <c r="D805" s="57"/>
      <c r="E805" s="57"/>
      <c r="F805" s="57"/>
      <c r="G805" s="57"/>
      <c r="H805" s="57"/>
      <c r="I805" s="57"/>
      <c r="J805" s="57"/>
      <c r="K805" s="63"/>
      <c r="L805" s="57"/>
      <c r="M805" s="57"/>
      <c r="N805" s="57"/>
      <c r="O805" s="57"/>
      <c r="P805" s="57"/>
      <c r="Q805" s="57"/>
    </row>
    <row r="806">
      <c r="A806" s="60" t="s">
        <v>439</v>
      </c>
      <c r="B806" s="60" t="s">
        <v>502</v>
      </c>
      <c r="C806" s="57"/>
      <c r="D806" s="57"/>
      <c r="E806" s="57"/>
      <c r="F806" s="57"/>
      <c r="G806" s="57"/>
      <c r="H806" s="57"/>
      <c r="I806" s="57"/>
      <c r="J806" s="57"/>
      <c r="K806" s="63"/>
      <c r="L806" s="57"/>
      <c r="M806" s="57"/>
      <c r="N806" s="57"/>
      <c r="O806" s="57"/>
      <c r="P806" s="57"/>
      <c r="Q806" s="57"/>
    </row>
    <row r="807">
      <c r="A807" s="60" t="s">
        <v>441</v>
      </c>
      <c r="B807" s="60">
        <v>3.0</v>
      </c>
      <c r="C807" s="57"/>
      <c r="D807" s="57"/>
      <c r="E807" s="57"/>
      <c r="F807" s="57"/>
      <c r="G807" s="57"/>
      <c r="H807" s="57"/>
      <c r="I807" s="57"/>
      <c r="J807" s="57"/>
      <c r="K807" s="63"/>
      <c r="L807" s="57"/>
      <c r="M807" s="57"/>
      <c r="N807" s="57"/>
      <c r="O807" s="57"/>
      <c r="P807" s="57"/>
      <c r="Q807" s="57"/>
    </row>
    <row r="808">
      <c r="A808" s="60" t="s">
        <v>444</v>
      </c>
      <c r="B808" s="60" t="s">
        <v>464</v>
      </c>
      <c r="C808" s="57"/>
      <c r="D808" s="57"/>
      <c r="E808" s="57"/>
      <c r="F808" s="57"/>
      <c r="G808" s="57"/>
      <c r="H808" s="57"/>
      <c r="I808" s="57"/>
      <c r="J808" s="57"/>
      <c r="K808" s="63"/>
      <c r="L808" s="57"/>
      <c r="M808" s="57"/>
      <c r="N808" s="57"/>
      <c r="O808" s="57"/>
      <c r="P808" s="57"/>
      <c r="Q808" s="57"/>
    </row>
    <row r="809">
      <c r="A809" s="60" t="s">
        <v>446</v>
      </c>
      <c r="B809" s="60" t="s">
        <v>440</v>
      </c>
      <c r="C809" s="57"/>
      <c r="D809" s="57"/>
      <c r="E809" s="57"/>
      <c r="F809" s="57"/>
      <c r="G809" s="57"/>
      <c r="H809" s="57"/>
      <c r="I809" s="57"/>
      <c r="J809" s="57"/>
      <c r="K809" s="63"/>
      <c r="L809" s="57"/>
      <c r="M809" s="57"/>
      <c r="N809" s="57"/>
      <c r="O809" s="57"/>
      <c r="P809" s="57"/>
      <c r="Q809" s="57"/>
    </row>
    <row r="810">
      <c r="A810" s="60" t="s">
        <v>447</v>
      </c>
      <c r="B810" s="60" t="s">
        <v>448</v>
      </c>
      <c r="C810" s="57"/>
      <c r="D810" s="57"/>
      <c r="E810" s="57"/>
      <c r="F810" s="57"/>
      <c r="G810" s="57"/>
      <c r="H810" s="57"/>
      <c r="I810" s="57"/>
      <c r="J810" s="57"/>
      <c r="K810" s="63"/>
      <c r="L810" s="57"/>
      <c r="M810" s="57"/>
      <c r="N810" s="57"/>
      <c r="O810" s="57"/>
      <c r="P810" s="57"/>
      <c r="Q810" s="57"/>
    </row>
    <row r="811">
      <c r="A811" s="83" t="s">
        <v>388</v>
      </c>
      <c r="B811" s="60" t="s">
        <v>459</v>
      </c>
      <c r="C811" s="57"/>
      <c r="D811" s="57"/>
      <c r="E811" s="57"/>
      <c r="F811" s="57"/>
      <c r="G811" s="57"/>
      <c r="H811" s="57"/>
      <c r="I811" s="57"/>
      <c r="J811" s="57"/>
      <c r="K811" s="63"/>
      <c r="L811" s="57"/>
      <c r="M811" s="57"/>
      <c r="N811" s="57"/>
      <c r="O811" s="57"/>
      <c r="P811" s="57"/>
      <c r="Q811" s="57"/>
    </row>
    <row r="812">
      <c r="A812" s="60" t="s">
        <v>38</v>
      </c>
      <c r="B812" s="26"/>
      <c r="C812" s="57"/>
      <c r="D812" s="57"/>
      <c r="E812" s="57"/>
      <c r="F812" s="57"/>
      <c r="G812" s="57"/>
      <c r="H812" s="57"/>
      <c r="I812" s="57"/>
      <c r="J812" s="57"/>
      <c r="K812" s="66">
        <v>750.0</v>
      </c>
      <c r="L812" s="57">
        <f t="shared" ref="L812:L813" si="360">ROUNDDOWN(K812*1.1,0)</f>
        <v>825</v>
      </c>
      <c r="M812" s="57">
        <f t="shared" ref="M812:M813" si="361">ROUNDDOWN(K812*1.21,0)</f>
        <v>907</v>
      </c>
      <c r="N812" s="57">
        <f t="shared" ref="N812:N813" si="362">ROUNDDOWN(K812*1.33,0)</f>
        <v>997</v>
      </c>
      <c r="O812" s="57">
        <f t="shared" ref="O812:O813" si="363">ROUNDDOWN(K812*1.46,0)</f>
        <v>1095</v>
      </c>
      <c r="P812" s="57">
        <f t="shared" ref="P812:P813" si="364">ROUNDDOWN(K812*1.57,0)</f>
        <v>1177</v>
      </c>
      <c r="Q812" s="57"/>
    </row>
    <row r="813">
      <c r="A813" s="60" t="s">
        <v>24</v>
      </c>
      <c r="B813" s="26"/>
      <c r="C813" s="57"/>
      <c r="D813" s="57"/>
      <c r="E813" s="57"/>
      <c r="F813" s="57"/>
      <c r="G813" s="57"/>
      <c r="H813" s="57"/>
      <c r="I813" s="57"/>
      <c r="J813" s="57"/>
      <c r="K813" s="66">
        <v>260.0</v>
      </c>
      <c r="L813" s="57">
        <f t="shared" si="360"/>
        <v>286</v>
      </c>
      <c r="M813" s="57">
        <f t="shared" si="361"/>
        <v>314</v>
      </c>
      <c r="N813" s="57">
        <f t="shared" si="362"/>
        <v>345</v>
      </c>
      <c r="O813" s="57">
        <f t="shared" si="363"/>
        <v>379</v>
      </c>
      <c r="P813" s="57">
        <f t="shared" si="364"/>
        <v>408</v>
      </c>
      <c r="Q813" s="57"/>
    </row>
    <row r="814">
      <c r="A814" s="60" t="s">
        <v>503</v>
      </c>
      <c r="B814" s="26"/>
      <c r="C814" s="57"/>
      <c r="D814" s="57"/>
      <c r="E814" s="57"/>
      <c r="F814" s="57"/>
      <c r="G814" s="57"/>
      <c r="H814" s="57"/>
      <c r="I814" s="57"/>
      <c r="J814" s="57"/>
      <c r="K814" s="66">
        <f t="shared" ref="K814:P814" si="365">K$3</f>
        <v>9</v>
      </c>
      <c r="L814" s="65">
        <f t="shared" si="365"/>
        <v>10</v>
      </c>
      <c r="M814" s="65">
        <f t="shared" si="365"/>
        <v>11</v>
      </c>
      <c r="N814" s="65">
        <f t="shared" si="365"/>
        <v>12</v>
      </c>
      <c r="O814" s="65">
        <f t="shared" si="365"/>
        <v>13</v>
      </c>
      <c r="P814" s="65">
        <f t="shared" si="365"/>
        <v>14</v>
      </c>
      <c r="Q814" s="57"/>
    </row>
    <row r="815">
      <c r="A815" s="60" t="s">
        <v>428</v>
      </c>
      <c r="B815" s="60" t="s">
        <v>429</v>
      </c>
      <c r="C815" s="57"/>
      <c r="D815" s="57"/>
      <c r="E815" s="57"/>
      <c r="F815" s="57"/>
      <c r="G815" s="57"/>
      <c r="H815" s="57"/>
      <c r="I815" s="57"/>
      <c r="J815" s="57"/>
      <c r="K815" s="63"/>
      <c r="L815" s="57"/>
      <c r="M815" s="57"/>
      <c r="N815" s="57"/>
      <c r="O815" s="57"/>
      <c r="P815" s="57"/>
      <c r="Q815" s="57"/>
    </row>
    <row r="816">
      <c r="A816" s="60" t="s">
        <v>55</v>
      </c>
      <c r="B816" s="60" t="s">
        <v>430</v>
      </c>
      <c r="C816" s="57"/>
      <c r="D816" s="57"/>
      <c r="E816" s="57"/>
      <c r="F816" s="57"/>
      <c r="G816" s="57"/>
      <c r="H816" s="57"/>
      <c r="I816" s="57"/>
      <c r="J816" s="57"/>
      <c r="K816" s="63"/>
      <c r="L816" s="57"/>
      <c r="M816" s="57"/>
      <c r="N816" s="57"/>
      <c r="O816" s="57"/>
      <c r="P816" s="57"/>
      <c r="Q816" s="57"/>
    </row>
    <row r="817">
      <c r="A817" s="60" t="s">
        <v>51</v>
      </c>
      <c r="B817" s="60" t="s">
        <v>451</v>
      </c>
      <c r="C817" s="57"/>
      <c r="D817" s="57"/>
      <c r="E817" s="57"/>
      <c r="F817" s="57"/>
      <c r="G817" s="57"/>
      <c r="H817" s="57"/>
      <c r="I817" s="57"/>
      <c r="J817" s="57"/>
      <c r="K817" s="63"/>
      <c r="L817" s="57"/>
      <c r="M817" s="57"/>
      <c r="N817" s="57"/>
      <c r="O817" s="57"/>
      <c r="P817" s="57"/>
      <c r="Q817" s="57"/>
    </row>
    <row r="818">
      <c r="A818" s="60" t="s">
        <v>49</v>
      </c>
      <c r="B818" s="60" t="s">
        <v>471</v>
      </c>
      <c r="C818" s="57"/>
      <c r="D818" s="57"/>
      <c r="E818" s="57"/>
      <c r="F818" s="57"/>
      <c r="G818" s="57"/>
      <c r="H818" s="57"/>
      <c r="I818" s="57"/>
      <c r="J818" s="57"/>
      <c r="K818" s="63"/>
      <c r="L818" s="57"/>
      <c r="M818" s="57"/>
      <c r="N818" s="57"/>
      <c r="O818" s="57"/>
      <c r="P818" s="57"/>
      <c r="Q818" s="57"/>
    </row>
    <row r="819">
      <c r="A819" s="60" t="s">
        <v>432</v>
      </c>
      <c r="B819" s="60" t="s">
        <v>650</v>
      </c>
      <c r="C819" s="57"/>
      <c r="D819" s="57"/>
      <c r="E819" s="57"/>
      <c r="F819" s="57"/>
      <c r="G819" s="57"/>
      <c r="H819" s="57"/>
      <c r="I819" s="57"/>
      <c r="J819" s="57"/>
      <c r="K819" s="63"/>
      <c r="L819" s="57"/>
      <c r="M819" s="57"/>
      <c r="N819" s="57"/>
      <c r="O819" s="57"/>
      <c r="P819" s="57"/>
      <c r="Q819" s="57"/>
    </row>
    <row r="820">
      <c r="A820" s="60" t="s">
        <v>53</v>
      </c>
      <c r="B820" s="60" t="s">
        <v>437</v>
      </c>
      <c r="C820" s="57"/>
      <c r="D820" s="57"/>
      <c r="E820" s="57"/>
      <c r="F820" s="57"/>
      <c r="G820" s="57"/>
      <c r="H820" s="57"/>
      <c r="I820" s="57"/>
      <c r="J820" s="57"/>
      <c r="K820" s="63"/>
      <c r="L820" s="57"/>
      <c r="M820" s="57"/>
      <c r="N820" s="57"/>
      <c r="O820" s="57"/>
      <c r="P820" s="57"/>
      <c r="Q820" s="57"/>
    </row>
    <row r="821">
      <c r="A821" s="60" t="s">
        <v>50</v>
      </c>
      <c r="B821" s="60" t="s">
        <v>98</v>
      </c>
      <c r="C821" s="57"/>
      <c r="D821" s="57"/>
      <c r="E821" s="57"/>
      <c r="F821" s="57"/>
      <c r="G821" s="57"/>
      <c r="H821" s="57"/>
      <c r="I821" s="57"/>
      <c r="J821" s="57"/>
      <c r="K821" s="63"/>
      <c r="L821" s="57"/>
      <c r="M821" s="57"/>
      <c r="N821" s="57"/>
      <c r="O821" s="57"/>
      <c r="P821" s="57"/>
      <c r="Q821" s="57"/>
    </row>
    <row r="822">
      <c r="A822" s="60" t="s">
        <v>438</v>
      </c>
      <c r="B822" s="60" t="s">
        <v>436</v>
      </c>
      <c r="C822" s="57"/>
      <c r="D822" s="57"/>
      <c r="E822" s="57"/>
      <c r="F822" s="57"/>
      <c r="G822" s="57"/>
      <c r="H822" s="57"/>
      <c r="I822" s="57"/>
      <c r="J822" s="57"/>
      <c r="K822" s="63"/>
      <c r="L822" s="57"/>
      <c r="M822" s="57"/>
      <c r="N822" s="57"/>
      <c r="O822" s="57"/>
      <c r="P822" s="57"/>
      <c r="Q822" s="57"/>
    </row>
    <row r="823">
      <c r="A823" s="60" t="s">
        <v>439</v>
      </c>
      <c r="B823" s="60" t="s">
        <v>440</v>
      </c>
      <c r="C823" s="57"/>
      <c r="D823" s="57"/>
      <c r="E823" s="57"/>
      <c r="F823" s="57"/>
      <c r="G823" s="57"/>
      <c r="H823" s="57"/>
      <c r="I823" s="57"/>
      <c r="J823" s="57"/>
      <c r="K823" s="63"/>
      <c r="L823" s="57"/>
      <c r="M823" s="57"/>
      <c r="N823" s="57"/>
      <c r="O823" s="57"/>
      <c r="P823" s="57"/>
      <c r="Q823" s="57"/>
    </row>
    <row r="824">
      <c r="A824" s="60" t="s">
        <v>441</v>
      </c>
      <c r="B824" s="60">
        <v>4.0</v>
      </c>
      <c r="C824" s="57"/>
      <c r="D824" s="57"/>
      <c r="E824" s="57"/>
      <c r="F824" s="57"/>
      <c r="G824" s="57"/>
      <c r="H824" s="57"/>
      <c r="I824" s="57"/>
      <c r="J824" s="57"/>
      <c r="K824" s="63"/>
      <c r="L824" s="57"/>
      <c r="M824" s="57"/>
      <c r="N824" s="57"/>
      <c r="O824" s="57"/>
      <c r="P824" s="57"/>
      <c r="Q824" s="57"/>
    </row>
    <row r="825">
      <c r="A825" s="60" t="s">
        <v>546</v>
      </c>
      <c r="B825" s="60" t="s">
        <v>651</v>
      </c>
      <c r="C825" s="57"/>
      <c r="D825" s="57"/>
      <c r="E825" s="57"/>
      <c r="F825" s="57"/>
      <c r="G825" s="57"/>
      <c r="H825" s="57"/>
      <c r="I825" s="57"/>
      <c r="J825" s="57"/>
      <c r="K825" s="63"/>
      <c r="L825" s="57"/>
      <c r="M825" s="57"/>
      <c r="N825" s="57"/>
      <c r="O825" s="57"/>
      <c r="P825" s="57"/>
      <c r="Q825" s="57"/>
    </row>
    <row r="826">
      <c r="A826" s="60" t="s">
        <v>506</v>
      </c>
      <c r="B826" s="60">
        <v>2.0</v>
      </c>
      <c r="C826" s="57"/>
      <c r="D826" s="57"/>
      <c r="E826" s="57"/>
      <c r="F826" s="57"/>
      <c r="G826" s="57"/>
      <c r="H826" s="57"/>
      <c r="I826" s="57"/>
      <c r="J826" s="57"/>
      <c r="K826" s="63"/>
      <c r="L826" s="57"/>
      <c r="M826" s="57"/>
      <c r="N826" s="57"/>
      <c r="O826" s="57"/>
      <c r="P826" s="57"/>
      <c r="Q826" s="57"/>
    </row>
    <row r="827">
      <c r="A827" s="60" t="s">
        <v>47</v>
      </c>
      <c r="B827" s="60" t="s">
        <v>547</v>
      </c>
      <c r="C827" s="57"/>
      <c r="D827" s="57"/>
      <c r="E827" s="57"/>
      <c r="F827" s="57"/>
      <c r="G827" s="57"/>
      <c r="H827" s="57"/>
      <c r="I827" s="57"/>
      <c r="J827" s="57"/>
      <c r="K827" s="63"/>
      <c r="L827" s="57"/>
      <c r="M827" s="57"/>
      <c r="N827" s="57"/>
      <c r="O827" s="57"/>
      <c r="P827" s="57"/>
      <c r="Q827" s="57"/>
    </row>
    <row r="828">
      <c r="A828" s="60" t="s">
        <v>508</v>
      </c>
      <c r="B828" s="60" t="s">
        <v>652</v>
      </c>
      <c r="C828" s="57"/>
      <c r="D828" s="57"/>
      <c r="E828" s="57"/>
      <c r="F828" s="57"/>
      <c r="G828" s="57"/>
      <c r="H828" s="57"/>
      <c r="I828" s="57"/>
      <c r="J828" s="57"/>
      <c r="K828" s="63"/>
      <c r="L828" s="57"/>
      <c r="M828" s="57"/>
      <c r="N828" s="57"/>
      <c r="O828" s="57"/>
      <c r="P828" s="57"/>
      <c r="Q828" s="57"/>
    </row>
    <row r="829">
      <c r="A829" s="60" t="s">
        <v>467</v>
      </c>
      <c r="B829" s="60" t="s">
        <v>443</v>
      </c>
      <c r="C829" s="57"/>
      <c r="D829" s="57"/>
      <c r="E829" s="57"/>
      <c r="F829" s="57"/>
      <c r="G829" s="57"/>
      <c r="H829" s="57"/>
      <c r="I829" s="57"/>
      <c r="J829" s="57"/>
      <c r="K829" s="63"/>
      <c r="L829" s="57"/>
      <c r="M829" s="57"/>
      <c r="N829" s="57"/>
      <c r="O829" s="57"/>
      <c r="P829" s="57"/>
      <c r="Q829" s="57"/>
    </row>
    <row r="830">
      <c r="A830" s="60" t="s">
        <v>510</v>
      </c>
      <c r="B830" s="60">
        <v>4.0</v>
      </c>
      <c r="C830" s="57"/>
      <c r="D830" s="57"/>
      <c r="E830" s="57"/>
      <c r="F830" s="57"/>
      <c r="G830" s="57"/>
      <c r="H830" s="57"/>
      <c r="I830" s="57"/>
      <c r="J830" s="57"/>
      <c r="K830" s="63"/>
      <c r="L830" s="57"/>
      <c r="M830" s="57"/>
      <c r="N830" s="57"/>
      <c r="O830" s="57"/>
      <c r="P830" s="57"/>
      <c r="Q830" s="57"/>
    </row>
    <row r="831">
      <c r="A831" s="60" t="s">
        <v>511</v>
      </c>
      <c r="B831" s="60" t="s">
        <v>652</v>
      </c>
      <c r="C831" s="57"/>
      <c r="D831" s="57"/>
      <c r="E831" s="57"/>
      <c r="F831" s="57"/>
      <c r="G831" s="57"/>
      <c r="H831" s="57"/>
      <c r="I831" s="57"/>
      <c r="J831" s="57"/>
      <c r="K831" s="63"/>
      <c r="L831" s="57"/>
      <c r="M831" s="57"/>
      <c r="N831" s="57"/>
      <c r="O831" s="57"/>
      <c r="P831" s="57"/>
      <c r="Q831" s="57"/>
    </row>
    <row r="832">
      <c r="A832" s="60" t="s">
        <v>555</v>
      </c>
      <c r="B832" s="60" t="s">
        <v>478</v>
      </c>
      <c r="C832" s="57"/>
      <c r="D832" s="57"/>
      <c r="E832" s="57"/>
      <c r="F832" s="57"/>
      <c r="G832" s="57"/>
      <c r="H832" s="57"/>
      <c r="I832" s="57"/>
      <c r="J832" s="57"/>
      <c r="K832" s="63"/>
      <c r="L832" s="57"/>
      <c r="M832" s="57"/>
      <c r="N832" s="57"/>
      <c r="O832" s="57"/>
      <c r="P832" s="57"/>
      <c r="Q832" s="57"/>
    </row>
    <row r="833">
      <c r="A833" s="60" t="s">
        <v>632</v>
      </c>
      <c r="B833" s="60" t="s">
        <v>653</v>
      </c>
      <c r="C833" s="57"/>
      <c r="D833" s="57"/>
      <c r="E833" s="57"/>
      <c r="F833" s="57"/>
      <c r="G833" s="57"/>
      <c r="H833" s="57"/>
      <c r="I833" s="57"/>
      <c r="J833" s="57"/>
      <c r="K833" s="63"/>
      <c r="L833" s="57"/>
      <c r="M833" s="57"/>
      <c r="N833" s="57"/>
      <c r="O833" s="57"/>
      <c r="P833" s="57"/>
      <c r="Q833" s="57"/>
    </row>
    <row r="834">
      <c r="A834" s="60" t="s">
        <v>576</v>
      </c>
      <c r="B834" s="60" t="s">
        <v>436</v>
      </c>
      <c r="C834" s="57"/>
      <c r="D834" s="57"/>
      <c r="E834" s="57"/>
      <c r="F834" s="57"/>
      <c r="G834" s="57"/>
      <c r="H834" s="57"/>
      <c r="I834" s="57"/>
      <c r="J834" s="57"/>
      <c r="K834" s="63"/>
      <c r="L834" s="57"/>
      <c r="M834" s="57"/>
      <c r="N834" s="57"/>
      <c r="O834" s="57"/>
      <c r="P834" s="57"/>
      <c r="Q834" s="57"/>
    </row>
    <row r="835">
      <c r="A835" s="67" t="s">
        <v>196</v>
      </c>
      <c r="B835" s="60" t="s">
        <v>459</v>
      </c>
      <c r="C835" s="57"/>
      <c r="D835" s="57"/>
      <c r="E835" s="57"/>
      <c r="F835" s="57"/>
      <c r="G835" s="57"/>
      <c r="H835" s="57"/>
      <c r="I835" s="57"/>
      <c r="J835" s="57"/>
      <c r="K835" s="63"/>
      <c r="L835" s="57"/>
      <c r="M835" s="57"/>
      <c r="N835" s="57"/>
      <c r="O835" s="57"/>
      <c r="P835" s="57"/>
      <c r="Q835" s="57"/>
    </row>
    <row r="836">
      <c r="A836" s="60" t="s">
        <v>38</v>
      </c>
      <c r="B836" s="26"/>
      <c r="C836" s="65">
        <v>575.0</v>
      </c>
      <c r="D836" s="57">
        <f t="shared" ref="D836:D837" si="366">ROUNDDOWN(C836*1.1,0)</f>
        <v>632</v>
      </c>
      <c r="E836" s="57">
        <f t="shared" ref="E836:E837" si="367">ROUNDDOWN(C836*1.21,0)</f>
        <v>695</v>
      </c>
      <c r="F836" s="57">
        <f t="shared" ref="F836:F837" si="368">ROUNDDOWN(C836*1.33,0)</f>
        <v>764</v>
      </c>
      <c r="G836" s="57">
        <f t="shared" ref="G836:G837" si="369">ROUNDDOWN(C836*1.46,0)</f>
        <v>839</v>
      </c>
      <c r="H836" s="57">
        <f t="shared" ref="H836:H837" si="370">ROUNDDOWN(C836*1.6,0)</f>
        <v>920</v>
      </c>
      <c r="I836" s="57">
        <f t="shared" ref="I836:I837" si="371">ROUNDDOWN(C836*1.76,0)</f>
        <v>1012</v>
      </c>
      <c r="J836" s="57">
        <f t="shared" ref="J836:J837" si="372">ROUNDDOWN(C836*1.93,0)</f>
        <v>1109</v>
      </c>
      <c r="K836" s="63">
        <f t="shared" ref="K836:K837" si="373">ROUNDDOWN(C836*2.12,0)</f>
        <v>1219</v>
      </c>
      <c r="L836" s="57">
        <f t="shared" ref="L836:L837" si="374">ROUNDDOWN(C836*2.33,0)</f>
        <v>1339</v>
      </c>
      <c r="M836" s="57">
        <f t="shared" ref="M836:M837" si="375">ROUNDDOWN(C836*2.56,0)</f>
        <v>1472</v>
      </c>
      <c r="N836" s="57">
        <f t="shared" ref="N836:N837" si="376">ROUNDDOWN(C836*2.81,0)</f>
        <v>1615</v>
      </c>
      <c r="O836" s="57">
        <f t="shared" ref="O836:O837" si="377">ROUNDDOWN(C836*3.09,0)</f>
        <v>1776</v>
      </c>
      <c r="P836" s="57">
        <f t="shared" ref="P836:P837" si="378">ROUNDDOWN(C836*3.39,0)</f>
        <v>1949</v>
      </c>
      <c r="Q836" s="57"/>
    </row>
    <row r="837">
      <c r="A837" s="60" t="s">
        <v>24</v>
      </c>
      <c r="B837" s="60"/>
      <c r="C837" s="65">
        <v>104.0</v>
      </c>
      <c r="D837" s="57">
        <f t="shared" si="366"/>
        <v>114</v>
      </c>
      <c r="E837" s="57">
        <f t="shared" si="367"/>
        <v>125</v>
      </c>
      <c r="F837" s="57">
        <f t="shared" si="368"/>
        <v>138</v>
      </c>
      <c r="G837" s="57">
        <f t="shared" si="369"/>
        <v>151</v>
      </c>
      <c r="H837" s="57">
        <f t="shared" si="370"/>
        <v>166</v>
      </c>
      <c r="I837" s="57">
        <f t="shared" si="371"/>
        <v>183</v>
      </c>
      <c r="J837" s="57">
        <f t="shared" si="372"/>
        <v>200</v>
      </c>
      <c r="K837" s="63">
        <f t="shared" si="373"/>
        <v>220</v>
      </c>
      <c r="L837" s="57">
        <f t="shared" si="374"/>
        <v>242</v>
      </c>
      <c r="M837" s="57">
        <f t="shared" si="375"/>
        <v>266</v>
      </c>
      <c r="N837" s="57">
        <f t="shared" si="376"/>
        <v>292</v>
      </c>
      <c r="O837" s="57">
        <f t="shared" si="377"/>
        <v>321</v>
      </c>
      <c r="P837" s="57">
        <f t="shared" si="378"/>
        <v>352</v>
      </c>
      <c r="Q837" s="57"/>
    </row>
    <row r="838">
      <c r="A838" s="60" t="s">
        <v>428</v>
      </c>
      <c r="B838" s="60" t="s">
        <v>654</v>
      </c>
      <c r="C838" s="57"/>
      <c r="D838" s="57"/>
      <c r="E838" s="57"/>
      <c r="F838" s="57"/>
      <c r="G838" s="57"/>
      <c r="H838" s="57"/>
      <c r="I838" s="57"/>
      <c r="J838" s="57"/>
      <c r="K838" s="63"/>
      <c r="L838" s="57"/>
      <c r="M838" s="57"/>
      <c r="N838" s="57"/>
      <c r="O838" s="57"/>
      <c r="P838" s="57"/>
      <c r="Q838" s="57"/>
    </row>
    <row r="839">
      <c r="A839" s="60" t="s">
        <v>55</v>
      </c>
      <c r="B839" s="60" t="s">
        <v>651</v>
      </c>
      <c r="C839" s="57"/>
      <c r="D839" s="57"/>
      <c r="E839" s="57"/>
      <c r="F839" s="57"/>
      <c r="G839" s="57"/>
      <c r="H839" s="57"/>
      <c r="I839" s="57"/>
      <c r="J839" s="57"/>
      <c r="K839" s="63"/>
      <c r="L839" s="57"/>
      <c r="M839" s="57"/>
      <c r="N839" s="57"/>
      <c r="O839" s="57"/>
      <c r="P839" s="57"/>
      <c r="Q839" s="57"/>
    </row>
    <row r="840">
      <c r="A840" s="60" t="s">
        <v>49</v>
      </c>
      <c r="B840" s="60" t="s">
        <v>655</v>
      </c>
      <c r="C840" s="57"/>
      <c r="D840" s="57"/>
      <c r="E840" s="57"/>
      <c r="F840" s="57"/>
      <c r="G840" s="57"/>
      <c r="H840" s="57"/>
      <c r="I840" s="57"/>
      <c r="J840" s="57"/>
      <c r="K840" s="63"/>
      <c r="L840" s="57"/>
      <c r="M840" s="57"/>
      <c r="N840" s="57"/>
      <c r="O840" s="57"/>
      <c r="P840" s="57"/>
      <c r="Q840" s="57"/>
    </row>
    <row r="841">
      <c r="A841" s="60" t="s">
        <v>432</v>
      </c>
      <c r="B841" s="60" t="s">
        <v>656</v>
      </c>
      <c r="C841" s="57"/>
      <c r="D841" s="57"/>
      <c r="E841" s="57"/>
      <c r="F841" s="57"/>
      <c r="G841" s="57"/>
      <c r="H841" s="57"/>
      <c r="I841" s="57"/>
      <c r="J841" s="57"/>
      <c r="K841" s="63"/>
      <c r="L841" s="57"/>
      <c r="M841" s="57"/>
      <c r="N841" s="57"/>
      <c r="O841" s="57"/>
      <c r="P841" s="57"/>
      <c r="Q841" s="57"/>
    </row>
    <row r="842">
      <c r="A842" s="60" t="s">
        <v>422</v>
      </c>
      <c r="B842" s="60" t="s">
        <v>657</v>
      </c>
      <c r="C842" s="57"/>
      <c r="D842" s="57"/>
      <c r="E842" s="57"/>
      <c r="F842" s="57"/>
      <c r="G842" s="57"/>
      <c r="H842" s="57"/>
      <c r="I842" s="57"/>
      <c r="J842" s="57"/>
      <c r="K842" s="63"/>
      <c r="L842" s="57"/>
      <c r="M842" s="57"/>
      <c r="N842" s="57"/>
      <c r="O842" s="57"/>
      <c r="P842" s="57"/>
      <c r="Q842" s="57"/>
    </row>
    <row r="843">
      <c r="A843" s="60" t="s">
        <v>435</v>
      </c>
      <c r="B843" s="60" t="s">
        <v>472</v>
      </c>
      <c r="C843" s="57"/>
      <c r="D843" s="57"/>
      <c r="E843" s="57"/>
      <c r="F843" s="57"/>
      <c r="G843" s="57"/>
      <c r="H843" s="57"/>
      <c r="I843" s="57"/>
      <c r="J843" s="57"/>
      <c r="K843" s="63"/>
      <c r="L843" s="57"/>
      <c r="M843" s="57"/>
      <c r="N843" s="57"/>
      <c r="O843" s="57"/>
      <c r="P843" s="57"/>
      <c r="Q843" s="57"/>
    </row>
    <row r="844">
      <c r="A844" s="60" t="s">
        <v>483</v>
      </c>
      <c r="B844" s="60" t="s">
        <v>478</v>
      </c>
      <c r="C844" s="57"/>
      <c r="D844" s="57"/>
      <c r="E844" s="57"/>
      <c r="F844" s="57"/>
      <c r="G844" s="57"/>
      <c r="H844" s="57"/>
      <c r="I844" s="57"/>
      <c r="J844" s="57"/>
      <c r="K844" s="63"/>
      <c r="L844" s="57"/>
      <c r="M844" s="57"/>
      <c r="N844" s="57"/>
      <c r="O844" s="57"/>
      <c r="P844" s="57"/>
      <c r="Q844" s="57"/>
    </row>
    <row r="845">
      <c r="A845" s="60" t="s">
        <v>426</v>
      </c>
      <c r="B845" s="60" t="s">
        <v>455</v>
      </c>
      <c r="C845" s="57"/>
      <c r="D845" s="57"/>
      <c r="E845" s="57"/>
      <c r="F845" s="57"/>
      <c r="G845" s="57"/>
      <c r="H845" s="57"/>
      <c r="I845" s="57"/>
      <c r="J845" s="57"/>
      <c r="K845" s="63"/>
      <c r="L845" s="57"/>
      <c r="M845" s="57"/>
      <c r="N845" s="57"/>
      <c r="O845" s="57"/>
      <c r="P845" s="57"/>
      <c r="Q845" s="57"/>
    </row>
    <row r="846">
      <c r="A846" s="60" t="s">
        <v>53</v>
      </c>
      <c r="B846" s="60" t="s">
        <v>654</v>
      </c>
      <c r="C846" s="57"/>
      <c r="D846" s="57"/>
      <c r="E846" s="57"/>
      <c r="F846" s="57"/>
      <c r="G846" s="57"/>
      <c r="H846" s="57"/>
      <c r="I846" s="57"/>
      <c r="J846" s="57"/>
      <c r="K846" s="63"/>
      <c r="L846" s="57"/>
      <c r="M846" s="57"/>
      <c r="N846" s="57"/>
      <c r="O846" s="57"/>
      <c r="P846" s="57"/>
      <c r="Q846" s="57"/>
    </row>
    <row r="847">
      <c r="A847" s="60" t="s">
        <v>658</v>
      </c>
      <c r="B847" s="60" t="s">
        <v>499</v>
      </c>
      <c r="C847" s="57"/>
      <c r="D847" s="57"/>
      <c r="E847" s="57"/>
      <c r="F847" s="57"/>
      <c r="G847" s="57"/>
      <c r="H847" s="57"/>
      <c r="I847" s="57"/>
      <c r="J847" s="57"/>
      <c r="K847" s="63"/>
      <c r="L847" s="57"/>
      <c r="M847" s="57"/>
      <c r="N847" s="57"/>
      <c r="O847" s="57"/>
      <c r="P847" s="57"/>
      <c r="Q847" s="57"/>
    </row>
    <row r="848">
      <c r="A848" s="60" t="s">
        <v>50</v>
      </c>
      <c r="B848" s="60" t="s">
        <v>98</v>
      </c>
      <c r="C848" s="57"/>
      <c r="D848" s="57"/>
      <c r="E848" s="57"/>
      <c r="F848" s="57"/>
      <c r="G848" s="57"/>
      <c r="H848" s="57"/>
      <c r="I848" s="57"/>
      <c r="J848" s="57"/>
      <c r="K848" s="63"/>
      <c r="L848" s="57"/>
      <c r="M848" s="57"/>
      <c r="N848" s="57"/>
      <c r="O848" s="57"/>
      <c r="P848" s="57"/>
      <c r="Q848" s="57"/>
    </row>
    <row r="849">
      <c r="A849" s="60" t="s">
        <v>56</v>
      </c>
      <c r="B849" s="60" t="s">
        <v>548</v>
      </c>
      <c r="C849" s="57"/>
      <c r="D849" s="57"/>
      <c r="E849" s="57"/>
      <c r="F849" s="57"/>
      <c r="G849" s="57"/>
      <c r="H849" s="57"/>
      <c r="I849" s="57"/>
      <c r="J849" s="57"/>
      <c r="K849" s="63"/>
      <c r="L849" s="57"/>
      <c r="M849" s="57"/>
      <c r="N849" s="57"/>
      <c r="O849" s="57"/>
      <c r="P849" s="57"/>
      <c r="Q849" s="57"/>
    </row>
    <row r="850">
      <c r="A850" s="60" t="s">
        <v>439</v>
      </c>
      <c r="B850" s="60" t="s">
        <v>502</v>
      </c>
      <c r="C850" s="57"/>
      <c r="D850" s="57"/>
      <c r="E850" s="57"/>
      <c r="F850" s="57"/>
      <c r="G850" s="57"/>
      <c r="H850" s="57"/>
      <c r="I850" s="57"/>
      <c r="J850" s="57"/>
      <c r="K850" s="63"/>
      <c r="L850" s="57"/>
      <c r="M850" s="57"/>
      <c r="N850" s="57"/>
      <c r="O850" s="57"/>
      <c r="P850" s="57"/>
      <c r="Q850" s="57"/>
    </row>
    <row r="851">
      <c r="A851" s="60" t="s">
        <v>444</v>
      </c>
      <c r="B851" s="60" t="s">
        <v>505</v>
      </c>
      <c r="C851" s="57"/>
      <c r="D851" s="57"/>
      <c r="E851" s="57"/>
      <c r="F851" s="57"/>
      <c r="G851" s="57"/>
      <c r="H851" s="57"/>
      <c r="I851" s="57"/>
      <c r="J851" s="57"/>
      <c r="K851" s="63"/>
      <c r="L851" s="57"/>
      <c r="M851" s="57"/>
      <c r="N851" s="57"/>
      <c r="O851" s="57"/>
      <c r="P851" s="57"/>
      <c r="Q851" s="57"/>
    </row>
    <row r="852">
      <c r="A852" s="60" t="s">
        <v>446</v>
      </c>
      <c r="B852" s="60" t="s">
        <v>505</v>
      </c>
      <c r="C852" s="57"/>
      <c r="D852" s="57"/>
      <c r="E852" s="57"/>
      <c r="F852" s="57"/>
      <c r="G852" s="57"/>
      <c r="H852" s="57"/>
      <c r="I852" s="57"/>
      <c r="J852" s="57"/>
      <c r="K852" s="63"/>
      <c r="L852" s="57"/>
      <c r="M852" s="57"/>
      <c r="N852" s="57"/>
      <c r="O852" s="57"/>
      <c r="P852" s="57"/>
      <c r="Q852" s="57"/>
    </row>
    <row r="853">
      <c r="A853" s="67" t="s">
        <v>303</v>
      </c>
      <c r="B853" s="60" t="s">
        <v>416</v>
      </c>
      <c r="C853" s="57"/>
      <c r="D853" s="57"/>
      <c r="E853" s="57"/>
      <c r="F853" s="57"/>
      <c r="G853" s="57"/>
      <c r="H853" s="57"/>
      <c r="I853" s="57"/>
      <c r="J853" s="57"/>
      <c r="K853" s="63"/>
      <c r="L853" s="57"/>
      <c r="M853" s="57"/>
      <c r="N853" s="57"/>
      <c r="O853" s="57"/>
      <c r="P853" s="57"/>
      <c r="Q853" s="57"/>
    </row>
    <row r="854">
      <c r="A854" s="60" t="s">
        <v>38</v>
      </c>
      <c r="B854" s="60"/>
      <c r="C854" s="65">
        <v>208.0</v>
      </c>
      <c r="D854" s="57">
        <f t="shared" ref="D854:D855" si="379">ROUNDDOWN(C854*1.1,0)</f>
        <v>228</v>
      </c>
      <c r="E854" s="57">
        <f t="shared" ref="E854:E855" si="380">ROUNDDOWN(C854*1.21,0)</f>
        <v>251</v>
      </c>
      <c r="F854" s="57">
        <f t="shared" ref="F854:F855" si="381">ROUNDDOWN(C854*1.33,0)</f>
        <v>276</v>
      </c>
      <c r="G854" s="57">
        <f t="shared" ref="G854:G855" si="382">ROUNDDOWN(C854*1.46,0)</f>
        <v>303</v>
      </c>
      <c r="H854" s="57">
        <f t="shared" ref="H854:H855" si="383">ROUNDDOWN(C854*1.6,0)</f>
        <v>332</v>
      </c>
      <c r="I854" s="57">
        <f t="shared" ref="I854:I855" si="384">ROUNDDOWN(C854*1.76,0)</f>
        <v>366</v>
      </c>
      <c r="J854" s="57">
        <f t="shared" ref="J854:J855" si="385">ROUNDDOWN(C854*1.93,0)</f>
        <v>401</v>
      </c>
      <c r="K854" s="63">
        <f t="shared" ref="K854:K855" si="386">ROUNDDOWN(C854*2.12,0)</f>
        <v>440</v>
      </c>
      <c r="L854" s="57">
        <f t="shared" ref="L854:L855" si="387">ROUNDDOWN(C854*2.33,0)</f>
        <v>484</v>
      </c>
      <c r="M854" s="57">
        <f t="shared" ref="M854:M855" si="388">ROUNDDOWN(C854*2.56,0)</f>
        <v>532</v>
      </c>
      <c r="N854" s="57">
        <f t="shared" ref="N854:N855" si="389">ROUNDDOWN(C854*2.81,0)</f>
        <v>584</v>
      </c>
      <c r="O854" s="57">
        <f t="shared" ref="O854:O855" si="390">ROUNDDOWN(C854*3.09,0)</f>
        <v>642</v>
      </c>
      <c r="P854" s="57">
        <f t="shared" ref="P854:P855" si="391">ROUNDDOWN(C854*3.39,0)</f>
        <v>705</v>
      </c>
      <c r="Q854" s="57"/>
    </row>
    <row r="855">
      <c r="A855" s="60" t="s">
        <v>30</v>
      </c>
      <c r="B855" s="60"/>
      <c r="C855" s="65">
        <v>52.0</v>
      </c>
      <c r="D855" s="57">
        <f t="shared" si="379"/>
        <v>57</v>
      </c>
      <c r="E855" s="57">
        <f t="shared" si="380"/>
        <v>62</v>
      </c>
      <c r="F855" s="57">
        <f t="shared" si="381"/>
        <v>69</v>
      </c>
      <c r="G855" s="57">
        <f t="shared" si="382"/>
        <v>75</v>
      </c>
      <c r="H855" s="57">
        <f t="shared" si="383"/>
        <v>83</v>
      </c>
      <c r="I855" s="57">
        <f t="shared" si="384"/>
        <v>91</v>
      </c>
      <c r="J855" s="57">
        <f t="shared" si="385"/>
        <v>100</v>
      </c>
      <c r="K855" s="63">
        <f t="shared" si="386"/>
        <v>110</v>
      </c>
      <c r="L855" s="57">
        <f t="shared" si="387"/>
        <v>121</v>
      </c>
      <c r="M855" s="57">
        <f t="shared" si="388"/>
        <v>133</v>
      </c>
      <c r="N855" s="57">
        <f t="shared" si="389"/>
        <v>146</v>
      </c>
      <c r="O855" s="57">
        <f t="shared" si="390"/>
        <v>160</v>
      </c>
      <c r="P855" s="57">
        <f t="shared" si="391"/>
        <v>176</v>
      </c>
      <c r="Q855" s="57"/>
    </row>
    <row r="856">
      <c r="A856" s="60" t="s">
        <v>503</v>
      </c>
      <c r="B856" s="60"/>
      <c r="C856" s="65">
        <f t="shared" ref="C856:P856" si="392">C$3</f>
        <v>1</v>
      </c>
      <c r="D856" s="65">
        <f t="shared" si="392"/>
        <v>2</v>
      </c>
      <c r="E856" s="65">
        <f t="shared" si="392"/>
        <v>3</v>
      </c>
      <c r="F856" s="65">
        <f t="shared" si="392"/>
        <v>4</v>
      </c>
      <c r="G856" s="65">
        <f t="shared" si="392"/>
        <v>5</v>
      </c>
      <c r="H856" s="65">
        <f t="shared" si="392"/>
        <v>6</v>
      </c>
      <c r="I856" s="65">
        <f t="shared" si="392"/>
        <v>7</v>
      </c>
      <c r="J856" s="65">
        <f t="shared" si="392"/>
        <v>8</v>
      </c>
      <c r="K856" s="66">
        <f t="shared" si="392"/>
        <v>9</v>
      </c>
      <c r="L856" s="65">
        <f t="shared" si="392"/>
        <v>10</v>
      </c>
      <c r="M856" s="65">
        <f t="shared" si="392"/>
        <v>11</v>
      </c>
      <c r="N856" s="65">
        <f t="shared" si="392"/>
        <v>12</v>
      </c>
      <c r="O856" s="65">
        <f t="shared" si="392"/>
        <v>13</v>
      </c>
      <c r="P856" s="65">
        <f t="shared" si="392"/>
        <v>14</v>
      </c>
      <c r="Q856" s="57"/>
    </row>
    <row r="857">
      <c r="A857" s="60" t="s">
        <v>659</v>
      </c>
      <c r="B857" s="60" t="s">
        <v>498</v>
      </c>
      <c r="C857" s="57"/>
      <c r="D857" s="57"/>
      <c r="E857" s="57"/>
      <c r="F857" s="57"/>
      <c r="G857" s="57"/>
      <c r="H857" s="57"/>
      <c r="I857" s="57"/>
      <c r="J857" s="57"/>
      <c r="K857" s="63"/>
      <c r="L857" s="57"/>
      <c r="M857" s="57"/>
      <c r="N857" s="57"/>
      <c r="O857" s="57"/>
      <c r="P857" s="57"/>
      <c r="Q857" s="57"/>
    </row>
    <row r="858">
      <c r="A858" s="60" t="s">
        <v>428</v>
      </c>
      <c r="B858" s="60" t="s">
        <v>660</v>
      </c>
      <c r="C858" s="57"/>
      <c r="D858" s="57"/>
      <c r="E858" s="57"/>
      <c r="F858" s="57"/>
      <c r="G858" s="57"/>
      <c r="H858" s="57"/>
      <c r="I858" s="57"/>
      <c r="J858" s="57"/>
      <c r="K858" s="63"/>
      <c r="L858" s="57"/>
      <c r="M858" s="57"/>
      <c r="N858" s="57"/>
      <c r="O858" s="57"/>
      <c r="P858" s="57"/>
      <c r="Q858" s="57"/>
    </row>
    <row r="859">
      <c r="A859" s="60" t="s">
        <v>55</v>
      </c>
      <c r="B859" s="60" t="s">
        <v>430</v>
      </c>
      <c r="C859" s="57"/>
      <c r="D859" s="57"/>
      <c r="E859" s="57"/>
      <c r="F859" s="57"/>
      <c r="G859" s="57"/>
      <c r="H859" s="57"/>
      <c r="I859" s="57"/>
      <c r="J859" s="57"/>
      <c r="K859" s="63"/>
      <c r="L859" s="57"/>
      <c r="M859" s="57"/>
      <c r="N859" s="57"/>
      <c r="O859" s="57"/>
      <c r="P859" s="57"/>
      <c r="Q859" s="57"/>
    </row>
    <row r="860">
      <c r="A860" s="60" t="s">
        <v>51</v>
      </c>
      <c r="B860" s="60" t="s">
        <v>431</v>
      </c>
      <c r="C860" s="57"/>
      <c r="D860" s="57"/>
      <c r="E860" s="57"/>
      <c r="F860" s="57"/>
      <c r="G860" s="57"/>
      <c r="H860" s="57"/>
      <c r="I860" s="57"/>
      <c r="J860" s="57"/>
      <c r="K860" s="63"/>
      <c r="L860" s="57"/>
      <c r="M860" s="57"/>
      <c r="N860" s="57"/>
      <c r="O860" s="57"/>
      <c r="P860" s="57"/>
      <c r="Q860" s="57"/>
    </row>
    <row r="861">
      <c r="A861" s="60" t="s">
        <v>49</v>
      </c>
      <c r="B861" s="60" t="s">
        <v>466</v>
      </c>
      <c r="C861" s="57"/>
      <c r="D861" s="57"/>
      <c r="E861" s="57"/>
      <c r="F861" s="57"/>
      <c r="G861" s="57"/>
      <c r="H861" s="57"/>
      <c r="I861" s="57"/>
      <c r="J861" s="57"/>
      <c r="K861" s="63"/>
      <c r="L861" s="57"/>
      <c r="M861" s="57"/>
      <c r="N861" s="57"/>
      <c r="O861" s="57"/>
      <c r="P861" s="57"/>
      <c r="Q861" s="57"/>
    </row>
    <row r="862">
      <c r="A862" s="60" t="s">
        <v>432</v>
      </c>
      <c r="B862" s="60" t="s">
        <v>421</v>
      </c>
      <c r="C862" s="57"/>
      <c r="D862" s="57"/>
      <c r="E862" s="57"/>
      <c r="F862" s="57"/>
      <c r="G862" s="57"/>
      <c r="H862" s="57"/>
      <c r="I862" s="57"/>
      <c r="J862" s="57"/>
      <c r="K862" s="63"/>
      <c r="L862" s="57"/>
      <c r="M862" s="57"/>
      <c r="N862" s="57"/>
      <c r="O862" s="57"/>
      <c r="P862" s="57"/>
      <c r="Q862" s="57"/>
    </row>
    <row r="863">
      <c r="A863" s="60" t="s">
        <v>53</v>
      </c>
      <c r="B863" s="60" t="s">
        <v>491</v>
      </c>
      <c r="C863" s="57"/>
      <c r="D863" s="57"/>
      <c r="E863" s="57"/>
      <c r="F863" s="57"/>
      <c r="G863" s="57"/>
      <c r="H863" s="57"/>
      <c r="I863" s="57"/>
      <c r="J863" s="57"/>
      <c r="K863" s="63"/>
      <c r="L863" s="57"/>
      <c r="M863" s="57"/>
      <c r="N863" s="57"/>
      <c r="O863" s="57"/>
      <c r="P863" s="57"/>
      <c r="Q863" s="57"/>
    </row>
    <row r="864">
      <c r="A864" s="60" t="s">
        <v>50</v>
      </c>
      <c r="B864" s="60" t="s">
        <v>109</v>
      </c>
      <c r="C864" s="57"/>
      <c r="D864" s="57"/>
      <c r="E864" s="57"/>
      <c r="F864" s="57"/>
      <c r="G864" s="57"/>
      <c r="H864" s="57"/>
      <c r="I864" s="57"/>
      <c r="J864" s="57"/>
      <c r="K864" s="63"/>
      <c r="L864" s="57"/>
      <c r="M864" s="57"/>
      <c r="N864" s="57"/>
      <c r="O864" s="57"/>
      <c r="P864" s="57"/>
      <c r="Q864" s="57"/>
    </row>
    <row r="865">
      <c r="A865" s="60" t="s">
        <v>438</v>
      </c>
      <c r="B865" s="60" t="s">
        <v>436</v>
      </c>
      <c r="C865" s="57"/>
      <c r="D865" s="57"/>
      <c r="E865" s="57"/>
      <c r="F865" s="57"/>
      <c r="G865" s="57"/>
      <c r="H865" s="57"/>
      <c r="I865" s="57"/>
      <c r="J865" s="57"/>
      <c r="K865" s="63"/>
      <c r="L865" s="57"/>
      <c r="M865" s="57"/>
      <c r="N865" s="57"/>
      <c r="O865" s="57"/>
      <c r="P865" s="57"/>
      <c r="Q865" s="57"/>
    </row>
    <row r="866">
      <c r="A866" s="60" t="s">
        <v>439</v>
      </c>
      <c r="B866" s="60" t="s">
        <v>440</v>
      </c>
      <c r="C866" s="57"/>
      <c r="D866" s="57"/>
      <c r="E866" s="57"/>
      <c r="F866" s="57"/>
      <c r="G866" s="57"/>
      <c r="H866" s="57"/>
      <c r="I866" s="57"/>
      <c r="J866" s="57"/>
      <c r="K866" s="63"/>
      <c r="L866" s="57"/>
      <c r="M866" s="57"/>
      <c r="N866" s="57"/>
      <c r="O866" s="57"/>
      <c r="P866" s="57"/>
      <c r="Q866" s="57"/>
    </row>
    <row r="867">
      <c r="A867" s="60" t="s">
        <v>441</v>
      </c>
      <c r="B867" s="60">
        <v>7.0</v>
      </c>
      <c r="C867" s="57"/>
      <c r="D867" s="57"/>
      <c r="E867" s="57"/>
      <c r="F867" s="57"/>
      <c r="G867" s="57"/>
      <c r="H867" s="57"/>
      <c r="I867" s="57"/>
      <c r="J867" s="57"/>
      <c r="K867" s="63"/>
      <c r="L867" s="57"/>
      <c r="M867" s="57"/>
      <c r="N867" s="57"/>
      <c r="O867" s="57"/>
      <c r="P867" s="57"/>
      <c r="Q867" s="57"/>
    </row>
    <row r="868">
      <c r="A868" s="60" t="s">
        <v>442</v>
      </c>
      <c r="B868" s="60" t="s">
        <v>661</v>
      </c>
      <c r="C868" s="57"/>
      <c r="D868" s="57"/>
      <c r="E868" s="57"/>
      <c r="F868" s="57"/>
      <c r="G868" s="57"/>
      <c r="H868" s="57"/>
      <c r="I868" s="57"/>
      <c r="J868" s="57"/>
      <c r="K868" s="63"/>
      <c r="L868" s="57"/>
      <c r="M868" s="57"/>
      <c r="N868" s="57"/>
      <c r="O868" s="57"/>
      <c r="P868" s="57"/>
      <c r="Q868" s="57"/>
    </row>
    <row r="869">
      <c r="A869" s="60" t="s">
        <v>488</v>
      </c>
      <c r="B869" s="60" t="s">
        <v>436</v>
      </c>
      <c r="C869" s="57"/>
      <c r="D869" s="57"/>
      <c r="E869" s="57"/>
      <c r="F869" s="57"/>
      <c r="G869" s="57"/>
      <c r="H869" s="57"/>
      <c r="I869" s="57"/>
      <c r="J869" s="57"/>
      <c r="K869" s="63"/>
      <c r="L869" s="57"/>
      <c r="M869" s="57"/>
      <c r="N869" s="57"/>
      <c r="O869" s="57"/>
      <c r="P869" s="57"/>
      <c r="Q869" s="57"/>
    </row>
    <row r="870">
      <c r="A870" s="60" t="s">
        <v>662</v>
      </c>
      <c r="B870" s="60" t="s">
        <v>433</v>
      </c>
      <c r="C870" s="57"/>
      <c r="D870" s="57"/>
      <c r="E870" s="57"/>
      <c r="F870" s="57"/>
      <c r="G870" s="57"/>
      <c r="H870" s="57"/>
      <c r="I870" s="57"/>
      <c r="J870" s="57"/>
      <c r="K870" s="63"/>
      <c r="L870" s="57"/>
      <c r="M870" s="57"/>
      <c r="N870" s="57"/>
      <c r="O870" s="57"/>
      <c r="P870" s="57"/>
      <c r="Q870" s="57"/>
    </row>
    <row r="871">
      <c r="A871" s="60" t="s">
        <v>479</v>
      </c>
      <c r="B871" s="60" t="s">
        <v>478</v>
      </c>
      <c r="C871" s="57"/>
      <c r="D871" s="57"/>
      <c r="E871" s="57"/>
      <c r="F871" s="57"/>
      <c r="G871" s="57"/>
      <c r="H871" s="57"/>
      <c r="I871" s="57"/>
      <c r="J871" s="57"/>
      <c r="K871" s="63"/>
      <c r="L871" s="57"/>
      <c r="M871" s="57"/>
      <c r="N871" s="57"/>
      <c r="O871" s="57"/>
      <c r="P871" s="57"/>
      <c r="Q871" s="57"/>
    </row>
    <row r="872">
      <c r="A872" s="60" t="s">
        <v>663</v>
      </c>
      <c r="B872" s="60" t="s">
        <v>645</v>
      </c>
      <c r="C872" s="57"/>
      <c r="D872" s="57"/>
      <c r="E872" s="57"/>
      <c r="F872" s="57"/>
      <c r="G872" s="57"/>
      <c r="H872" s="57"/>
      <c r="I872" s="57"/>
      <c r="J872" s="57"/>
      <c r="K872" s="63"/>
      <c r="L872" s="57"/>
      <c r="M872" s="57"/>
      <c r="N872" s="57"/>
      <c r="O872" s="57"/>
      <c r="P872" s="57"/>
      <c r="Q872" s="57"/>
    </row>
    <row r="873">
      <c r="A873" s="60" t="s">
        <v>542</v>
      </c>
      <c r="B873" s="60" t="s">
        <v>425</v>
      </c>
      <c r="C873" s="57"/>
      <c r="D873" s="57"/>
      <c r="E873" s="57"/>
      <c r="F873" s="57"/>
      <c r="G873" s="57"/>
      <c r="H873" s="57"/>
      <c r="I873" s="57"/>
      <c r="J873" s="57"/>
      <c r="K873" s="63"/>
      <c r="L873" s="57"/>
      <c r="M873" s="57"/>
      <c r="N873" s="57"/>
      <c r="O873" s="57"/>
      <c r="P873" s="57"/>
      <c r="Q873" s="57"/>
    </row>
    <row r="874">
      <c r="A874" s="60" t="s">
        <v>543</v>
      </c>
      <c r="B874" s="60" t="s">
        <v>478</v>
      </c>
      <c r="C874" s="57"/>
      <c r="D874" s="57"/>
      <c r="E874" s="57"/>
      <c r="F874" s="57"/>
      <c r="G874" s="57"/>
      <c r="H874" s="57"/>
      <c r="I874" s="57"/>
      <c r="J874" s="57"/>
      <c r="K874" s="63"/>
      <c r="L874" s="57"/>
      <c r="M874" s="57"/>
      <c r="N874" s="57"/>
      <c r="O874" s="57"/>
      <c r="P874" s="57"/>
      <c r="Q874" s="57"/>
    </row>
    <row r="875">
      <c r="A875" s="60" t="s">
        <v>664</v>
      </c>
      <c r="B875" s="60" t="s">
        <v>505</v>
      </c>
      <c r="C875" s="57"/>
      <c r="D875" s="57"/>
      <c r="E875" s="57"/>
      <c r="F875" s="57"/>
      <c r="G875" s="57"/>
      <c r="H875" s="57"/>
      <c r="I875" s="57"/>
      <c r="J875" s="57"/>
      <c r="K875" s="63"/>
      <c r="L875" s="57"/>
      <c r="M875" s="57"/>
      <c r="N875" s="57"/>
      <c r="O875" s="57"/>
      <c r="P875" s="57"/>
      <c r="Q875" s="57"/>
    </row>
    <row r="876">
      <c r="A876" s="60" t="s">
        <v>665</v>
      </c>
      <c r="B876" s="60">
        <v>7.0</v>
      </c>
      <c r="C876" s="57"/>
      <c r="D876" s="57"/>
      <c r="E876" s="57"/>
      <c r="F876" s="57"/>
      <c r="G876" s="57"/>
      <c r="H876" s="57"/>
      <c r="I876" s="57"/>
      <c r="J876" s="57"/>
      <c r="K876" s="63"/>
      <c r="L876" s="57"/>
      <c r="M876" s="57"/>
      <c r="N876" s="57"/>
      <c r="O876" s="57"/>
      <c r="P876" s="57"/>
      <c r="Q876" s="57"/>
    </row>
    <row r="877">
      <c r="A877" s="60" t="s">
        <v>666</v>
      </c>
      <c r="B877" s="60" t="s">
        <v>538</v>
      </c>
      <c r="C877" s="57"/>
      <c r="D877" s="57"/>
      <c r="E877" s="57"/>
      <c r="F877" s="57"/>
      <c r="G877" s="57"/>
      <c r="H877" s="57"/>
      <c r="I877" s="57"/>
      <c r="J877" s="57"/>
      <c r="K877" s="63"/>
      <c r="L877" s="57"/>
      <c r="M877" s="57"/>
      <c r="N877" s="57"/>
      <c r="O877" s="57"/>
      <c r="P877" s="57"/>
      <c r="Q877" s="57"/>
    </row>
    <row r="878">
      <c r="A878" s="60" t="s">
        <v>667</v>
      </c>
      <c r="B878" s="60" t="s">
        <v>461</v>
      </c>
      <c r="C878" s="57"/>
      <c r="D878" s="57"/>
      <c r="E878" s="57"/>
      <c r="F878" s="57"/>
      <c r="G878" s="57"/>
      <c r="H878" s="57"/>
      <c r="I878" s="57"/>
      <c r="J878" s="57"/>
      <c r="K878" s="63"/>
      <c r="L878" s="57"/>
      <c r="M878" s="57"/>
      <c r="N878" s="57"/>
      <c r="O878" s="57"/>
      <c r="P878" s="57"/>
      <c r="Q878" s="57"/>
    </row>
    <row r="879">
      <c r="A879" s="60" t="s">
        <v>668</v>
      </c>
      <c r="B879" s="60" t="s">
        <v>461</v>
      </c>
      <c r="C879" s="57"/>
      <c r="D879" s="57"/>
      <c r="E879" s="57"/>
      <c r="F879" s="57"/>
      <c r="G879" s="57"/>
      <c r="H879" s="57"/>
      <c r="I879" s="57"/>
      <c r="J879" s="57"/>
      <c r="K879" s="63"/>
      <c r="L879" s="57"/>
      <c r="M879" s="57"/>
      <c r="N879" s="57"/>
      <c r="O879" s="57"/>
      <c r="P879" s="57"/>
      <c r="Q879" s="57"/>
    </row>
    <row r="880">
      <c r="A880" s="60" t="s">
        <v>669</v>
      </c>
      <c r="B880" s="60" t="s">
        <v>433</v>
      </c>
      <c r="C880" s="57"/>
      <c r="D880" s="57"/>
      <c r="E880" s="57"/>
      <c r="F880" s="57"/>
      <c r="G880" s="57"/>
      <c r="H880" s="57"/>
      <c r="I880" s="57"/>
      <c r="J880" s="57"/>
      <c r="K880" s="63"/>
      <c r="L880" s="57"/>
      <c r="M880" s="57"/>
      <c r="N880" s="57"/>
      <c r="O880" s="57"/>
      <c r="P880" s="57"/>
      <c r="Q880" s="57"/>
    </row>
    <row r="881">
      <c r="A881" s="60" t="s">
        <v>670</v>
      </c>
      <c r="B881" s="60" t="s">
        <v>436</v>
      </c>
      <c r="C881" s="57"/>
      <c r="D881" s="57"/>
      <c r="E881" s="57"/>
      <c r="F881" s="57"/>
      <c r="G881" s="57"/>
      <c r="H881" s="57"/>
      <c r="I881" s="57"/>
      <c r="J881" s="57"/>
      <c r="K881" s="63"/>
      <c r="L881" s="57"/>
      <c r="M881" s="57"/>
      <c r="N881" s="57"/>
      <c r="O881" s="57"/>
      <c r="P881" s="57"/>
      <c r="Q881" s="57"/>
    </row>
    <row r="882">
      <c r="A882" s="68" t="s">
        <v>199</v>
      </c>
      <c r="B882" s="60" t="s">
        <v>539</v>
      </c>
      <c r="C882" s="57"/>
      <c r="D882" s="57"/>
      <c r="E882" s="57"/>
      <c r="F882" s="57"/>
      <c r="G882" s="57"/>
      <c r="H882" s="57"/>
      <c r="I882" s="57"/>
      <c r="J882" s="57"/>
      <c r="K882" s="63"/>
      <c r="L882" s="57"/>
      <c r="M882" s="57"/>
      <c r="N882" s="57"/>
      <c r="O882" s="57"/>
      <c r="P882" s="57"/>
      <c r="Q882" s="57"/>
    </row>
    <row r="883">
      <c r="A883" s="60" t="s">
        <v>24</v>
      </c>
      <c r="B883" s="26"/>
      <c r="C883" s="65"/>
      <c r="D883" s="57"/>
      <c r="E883" s="65">
        <v>700.0</v>
      </c>
      <c r="F883" s="57">
        <f>ROUNDDOWN(E883*1.1,0)</f>
        <v>770</v>
      </c>
      <c r="G883" s="57">
        <f>ROUNDDOWN(E883*1.21,0)</f>
        <v>847</v>
      </c>
      <c r="H883" s="57">
        <f>ROUNDDOWN(E883*1.33,0)</f>
        <v>931</v>
      </c>
      <c r="I883" s="57">
        <f>ROUNDDOWN(E883*1.46,0)</f>
        <v>1022</v>
      </c>
      <c r="J883" s="57">
        <f>ROUNDDOWN(E883*1.6,0)</f>
        <v>1120</v>
      </c>
      <c r="K883" s="63">
        <f>ROUNDDOWN(E883*1.76,0)</f>
        <v>1232</v>
      </c>
      <c r="L883" s="57">
        <f>ROUNDDOWN(E883*1.93,0)</f>
        <v>1351</v>
      </c>
      <c r="M883" s="57">
        <f>ROUNDDOWN(E883*2.12,0)</f>
        <v>1484</v>
      </c>
      <c r="N883" s="57">
        <f>ROUNDDOWN(E883*2.33,0)</f>
        <v>1631</v>
      </c>
      <c r="O883" s="57">
        <f>ROUNDDOWN(E883*2.56,0)</f>
        <v>1792</v>
      </c>
      <c r="P883" s="57">
        <f>ROUNDDOWN(E883*2.81,0)</f>
        <v>1967</v>
      </c>
      <c r="Q883" s="57"/>
    </row>
    <row r="884">
      <c r="A884" s="60" t="s">
        <v>31</v>
      </c>
      <c r="B884" s="26"/>
      <c r="C884" s="65"/>
      <c r="D884" s="57"/>
      <c r="E884" s="65">
        <f t="shared" ref="E884:F884" si="393">ROUNDUP(E883*0.35,0)</f>
        <v>245</v>
      </c>
      <c r="F884" s="65">
        <f t="shared" si="393"/>
        <v>270</v>
      </c>
      <c r="G884" s="65">
        <f t="shared" ref="G884:P884" si="394">ROUNDUP(G883*0.3,0)</f>
        <v>255</v>
      </c>
      <c r="H884" s="65">
        <f t="shared" si="394"/>
        <v>280</v>
      </c>
      <c r="I884" s="65">
        <f t="shared" si="394"/>
        <v>307</v>
      </c>
      <c r="J884" s="65">
        <f t="shared" si="394"/>
        <v>336</v>
      </c>
      <c r="K884" s="66">
        <f t="shared" si="394"/>
        <v>370</v>
      </c>
      <c r="L884" s="65">
        <f t="shared" si="394"/>
        <v>406</v>
      </c>
      <c r="M884" s="65">
        <f t="shared" si="394"/>
        <v>446</v>
      </c>
      <c r="N884" s="65">
        <f t="shared" si="394"/>
        <v>490</v>
      </c>
      <c r="O884" s="65">
        <f t="shared" si="394"/>
        <v>538</v>
      </c>
      <c r="P884" s="65">
        <f t="shared" si="394"/>
        <v>591</v>
      </c>
      <c r="Q884" s="57"/>
    </row>
    <row r="885">
      <c r="A885" s="60" t="s">
        <v>422</v>
      </c>
      <c r="B885" s="60" t="s">
        <v>671</v>
      </c>
      <c r="C885" s="57"/>
      <c r="D885" s="57"/>
      <c r="E885" s="57"/>
      <c r="F885" s="57"/>
      <c r="G885" s="57"/>
      <c r="H885" s="57"/>
      <c r="I885" s="57"/>
      <c r="J885" s="57"/>
      <c r="K885" s="63"/>
      <c r="L885" s="57"/>
      <c r="M885" s="57"/>
      <c r="N885" s="57"/>
      <c r="O885" s="57"/>
      <c r="P885" s="57"/>
      <c r="Q885" s="57"/>
    </row>
    <row r="886">
      <c r="A886" s="60" t="s">
        <v>460</v>
      </c>
      <c r="B886" s="60" t="s">
        <v>461</v>
      </c>
      <c r="C886" s="57"/>
      <c r="D886" s="57"/>
      <c r="E886" s="57"/>
      <c r="F886" s="57"/>
      <c r="G886" s="57"/>
      <c r="H886" s="57"/>
      <c r="I886" s="57"/>
      <c r="J886" s="57"/>
      <c r="K886" s="63"/>
      <c r="L886" s="57"/>
      <c r="M886" s="57"/>
      <c r="N886" s="57"/>
      <c r="O886" s="57"/>
      <c r="P886" s="57"/>
      <c r="Q886" s="57"/>
    </row>
    <row r="887">
      <c r="A887" s="60" t="s">
        <v>80</v>
      </c>
      <c r="B887" s="60" t="s">
        <v>478</v>
      </c>
      <c r="C887" s="57"/>
      <c r="D887" s="57"/>
      <c r="E887" s="57"/>
      <c r="F887" s="57"/>
      <c r="G887" s="57"/>
      <c r="H887" s="57"/>
      <c r="I887" s="57"/>
      <c r="J887" s="57"/>
      <c r="K887" s="63"/>
      <c r="L887" s="57"/>
      <c r="M887" s="57"/>
      <c r="N887" s="57"/>
      <c r="O887" s="57"/>
      <c r="P887" s="57"/>
      <c r="Q887" s="57"/>
    </row>
    <row r="888">
      <c r="A888" s="60" t="s">
        <v>50</v>
      </c>
      <c r="B888" s="60" t="s">
        <v>425</v>
      </c>
      <c r="C888" s="57"/>
      <c r="D888" s="57"/>
      <c r="E888" s="57"/>
      <c r="F888" s="57"/>
      <c r="G888" s="57"/>
      <c r="H888" s="57"/>
      <c r="I888" s="57"/>
      <c r="J888" s="57"/>
      <c r="K888" s="63"/>
      <c r="L888" s="57"/>
      <c r="M888" s="57"/>
      <c r="N888" s="57"/>
      <c r="O888" s="57"/>
      <c r="P888" s="57"/>
      <c r="Q888" s="57"/>
    </row>
    <row r="889">
      <c r="A889" s="60" t="s">
        <v>426</v>
      </c>
      <c r="B889" s="60" t="s">
        <v>427</v>
      </c>
      <c r="C889" s="57"/>
      <c r="D889" s="57"/>
      <c r="E889" s="57"/>
      <c r="F889" s="57"/>
      <c r="G889" s="57"/>
      <c r="H889" s="57"/>
      <c r="I889" s="57"/>
      <c r="J889" s="57"/>
      <c r="K889" s="63"/>
      <c r="L889" s="57"/>
      <c r="M889" s="57"/>
      <c r="N889" s="57"/>
      <c r="O889" s="57"/>
      <c r="P889" s="57"/>
      <c r="Q889" s="57"/>
    </row>
    <row r="890">
      <c r="A890" s="68" t="s">
        <v>200</v>
      </c>
      <c r="B890" s="60" t="s">
        <v>459</v>
      </c>
      <c r="C890" s="57"/>
      <c r="D890" s="57"/>
      <c r="E890" s="57"/>
      <c r="F890" s="57"/>
      <c r="G890" s="57"/>
      <c r="H890" s="57"/>
      <c r="I890" s="57"/>
      <c r="J890" s="57"/>
      <c r="K890" s="63"/>
      <c r="L890" s="57"/>
      <c r="M890" s="57"/>
      <c r="N890" s="57"/>
      <c r="O890" s="57"/>
      <c r="P890" s="57"/>
      <c r="Q890" s="57"/>
    </row>
    <row r="891">
      <c r="A891" s="60" t="s">
        <v>38</v>
      </c>
      <c r="B891" s="60"/>
      <c r="C891" s="57"/>
      <c r="D891" s="57"/>
      <c r="E891" s="65">
        <v>290.0</v>
      </c>
      <c r="F891" s="57">
        <f t="shared" ref="F891:F892" si="395">ROUNDDOWN(E891*1.1,0)</f>
        <v>319</v>
      </c>
      <c r="G891" s="57">
        <f t="shared" ref="G891:G892" si="396">ROUNDDOWN(E891*1.21,0)</f>
        <v>350</v>
      </c>
      <c r="H891" s="57">
        <f t="shared" ref="H891:H892" si="397">ROUNDDOWN(E891*1.33,0)</f>
        <v>385</v>
      </c>
      <c r="I891" s="57">
        <f t="shared" ref="I891:I892" si="398">ROUNDDOWN(E891*1.46,0)</f>
        <v>423</v>
      </c>
      <c r="J891" s="57">
        <f t="shared" ref="J891:J892" si="399">ROUNDDOWN(E891*1.6,0)</f>
        <v>464</v>
      </c>
      <c r="K891" s="63">
        <f t="shared" ref="K891:K892" si="400">ROUNDDOWN(E891*1.76,0)</f>
        <v>510</v>
      </c>
      <c r="L891" s="57">
        <f t="shared" ref="L891:L892" si="401">ROUNDDOWN(E891*1.93,0)</f>
        <v>559</v>
      </c>
      <c r="M891" s="57">
        <f t="shared" ref="M891:M892" si="402">ROUNDDOWN(E891*2.12,0)</f>
        <v>614</v>
      </c>
      <c r="N891" s="57">
        <f t="shared" ref="N891:N892" si="403">ROUNDDOWN(E891*2.33,0)</f>
        <v>675</v>
      </c>
      <c r="O891" s="57">
        <f t="shared" ref="O891:O892" si="404">ROUNDDOWN(E891*2.56,0)</f>
        <v>742</v>
      </c>
      <c r="P891" s="57">
        <f t="shared" ref="P891:P892" si="405">ROUNDDOWN(E891*2.81,0)</f>
        <v>814</v>
      </c>
      <c r="Q891" s="57"/>
    </row>
    <row r="892">
      <c r="A892" s="60" t="s">
        <v>24</v>
      </c>
      <c r="B892" s="60"/>
      <c r="C892" s="57"/>
      <c r="D892" s="57"/>
      <c r="E892" s="65">
        <v>81.0</v>
      </c>
      <c r="F892" s="57">
        <f t="shared" si="395"/>
        <v>89</v>
      </c>
      <c r="G892" s="57">
        <f t="shared" si="396"/>
        <v>98</v>
      </c>
      <c r="H892" s="57">
        <f t="shared" si="397"/>
        <v>107</v>
      </c>
      <c r="I892" s="57">
        <f t="shared" si="398"/>
        <v>118</v>
      </c>
      <c r="J892" s="57">
        <f t="shared" si="399"/>
        <v>129</v>
      </c>
      <c r="K892" s="63">
        <f t="shared" si="400"/>
        <v>142</v>
      </c>
      <c r="L892" s="57">
        <f t="shared" si="401"/>
        <v>156</v>
      </c>
      <c r="M892" s="57">
        <f t="shared" si="402"/>
        <v>171</v>
      </c>
      <c r="N892" s="57">
        <f t="shared" si="403"/>
        <v>188</v>
      </c>
      <c r="O892" s="57">
        <f t="shared" si="404"/>
        <v>207</v>
      </c>
      <c r="P892" s="57">
        <f t="shared" si="405"/>
        <v>227</v>
      </c>
      <c r="Q892" s="57"/>
    </row>
    <row r="893">
      <c r="A893" s="60" t="s">
        <v>659</v>
      </c>
      <c r="B893" s="60" t="s">
        <v>498</v>
      </c>
      <c r="C893" s="57"/>
      <c r="D893" s="57"/>
      <c r="E893" s="57"/>
      <c r="F893" s="57"/>
      <c r="G893" s="57"/>
      <c r="H893" s="57"/>
      <c r="I893" s="57"/>
      <c r="J893" s="57"/>
      <c r="K893" s="63"/>
      <c r="L893" s="57"/>
      <c r="M893" s="57"/>
      <c r="N893" s="57"/>
      <c r="O893" s="57"/>
      <c r="P893" s="57"/>
      <c r="Q893" s="57"/>
    </row>
    <row r="894">
      <c r="A894" s="60" t="s">
        <v>428</v>
      </c>
      <c r="B894" s="60" t="s">
        <v>465</v>
      </c>
      <c r="C894" s="57"/>
      <c r="D894" s="57"/>
      <c r="E894" s="57"/>
      <c r="F894" s="57"/>
      <c r="G894" s="57"/>
      <c r="H894" s="57"/>
      <c r="I894" s="57"/>
      <c r="J894" s="57"/>
      <c r="K894" s="63"/>
      <c r="L894" s="57"/>
      <c r="M894" s="57"/>
      <c r="N894" s="57"/>
      <c r="O894" s="57"/>
      <c r="P894" s="57"/>
      <c r="Q894" s="57"/>
    </row>
    <row r="895">
      <c r="A895" s="60" t="s">
        <v>55</v>
      </c>
      <c r="B895" s="60" t="s">
        <v>430</v>
      </c>
      <c r="C895" s="57"/>
      <c r="D895" s="57"/>
      <c r="E895" s="57"/>
      <c r="F895" s="57"/>
      <c r="G895" s="57"/>
      <c r="H895" s="57"/>
      <c r="I895" s="57"/>
      <c r="J895" s="57"/>
      <c r="K895" s="63"/>
      <c r="L895" s="57"/>
      <c r="M895" s="57"/>
      <c r="N895" s="57"/>
      <c r="O895" s="57"/>
      <c r="P895" s="57"/>
      <c r="Q895" s="57"/>
    </row>
    <row r="896">
      <c r="A896" s="60" t="s">
        <v>51</v>
      </c>
      <c r="B896" s="60" t="s">
        <v>431</v>
      </c>
      <c r="C896" s="57"/>
      <c r="D896" s="57"/>
      <c r="E896" s="57"/>
      <c r="F896" s="57"/>
      <c r="G896" s="57"/>
      <c r="H896" s="57"/>
      <c r="I896" s="57"/>
      <c r="J896" s="57"/>
      <c r="K896" s="63"/>
      <c r="L896" s="57"/>
      <c r="M896" s="57"/>
      <c r="N896" s="57"/>
      <c r="O896" s="57"/>
      <c r="P896" s="57"/>
      <c r="Q896" s="57"/>
    </row>
    <row r="897">
      <c r="A897" s="60" t="s">
        <v>49</v>
      </c>
      <c r="B897" s="60" t="s">
        <v>453</v>
      </c>
      <c r="C897" s="57"/>
      <c r="D897" s="57"/>
      <c r="E897" s="57"/>
      <c r="F897" s="57"/>
      <c r="G897" s="57"/>
      <c r="H897" s="57"/>
      <c r="I897" s="57"/>
      <c r="J897" s="57"/>
      <c r="K897" s="63"/>
      <c r="L897" s="57"/>
      <c r="M897" s="57"/>
      <c r="N897" s="57"/>
      <c r="O897" s="57"/>
      <c r="P897" s="57"/>
      <c r="Q897" s="57"/>
    </row>
    <row r="898">
      <c r="A898" s="60" t="s">
        <v>432</v>
      </c>
      <c r="B898" s="60" t="s">
        <v>645</v>
      </c>
      <c r="C898" s="57"/>
      <c r="D898" s="57"/>
      <c r="E898" s="57"/>
      <c r="F898" s="57"/>
      <c r="G898" s="57"/>
      <c r="H898" s="57"/>
      <c r="I898" s="57"/>
      <c r="J898" s="57"/>
      <c r="K898" s="63"/>
      <c r="L898" s="57"/>
      <c r="M898" s="57"/>
      <c r="N898" s="57"/>
      <c r="O898" s="57"/>
      <c r="P898" s="57"/>
      <c r="Q898" s="57"/>
    </row>
    <row r="899">
      <c r="A899" s="60" t="s">
        <v>422</v>
      </c>
      <c r="B899" s="60" t="s">
        <v>672</v>
      </c>
      <c r="C899" s="57"/>
      <c r="D899" s="57"/>
      <c r="E899" s="57"/>
      <c r="F899" s="57"/>
      <c r="G899" s="57"/>
      <c r="H899" s="57"/>
      <c r="I899" s="57"/>
      <c r="J899" s="57"/>
      <c r="K899" s="63"/>
      <c r="L899" s="57"/>
      <c r="M899" s="57"/>
      <c r="N899" s="57"/>
      <c r="O899" s="57"/>
      <c r="P899" s="57"/>
      <c r="Q899" s="57"/>
    </row>
    <row r="900">
      <c r="A900" s="60" t="s">
        <v>435</v>
      </c>
      <c r="B900" s="60" t="s">
        <v>436</v>
      </c>
      <c r="C900" s="57"/>
      <c r="D900" s="57"/>
      <c r="E900" s="57"/>
      <c r="F900" s="57"/>
      <c r="G900" s="57"/>
      <c r="H900" s="57"/>
      <c r="I900" s="57"/>
      <c r="J900" s="57"/>
      <c r="K900" s="63"/>
      <c r="L900" s="57"/>
      <c r="M900" s="57"/>
      <c r="N900" s="57"/>
      <c r="O900" s="57"/>
      <c r="P900" s="57"/>
      <c r="Q900" s="57"/>
    </row>
    <row r="901">
      <c r="A901" s="60" t="s">
        <v>426</v>
      </c>
      <c r="B901" s="60" t="s">
        <v>673</v>
      </c>
      <c r="C901" s="57"/>
      <c r="D901" s="57"/>
      <c r="E901" s="57"/>
      <c r="F901" s="57"/>
      <c r="G901" s="57"/>
      <c r="H901" s="57"/>
      <c r="I901" s="57"/>
      <c r="J901" s="57"/>
      <c r="K901" s="63"/>
      <c r="L901" s="57"/>
      <c r="M901" s="57"/>
      <c r="N901" s="57"/>
      <c r="O901" s="57"/>
      <c r="P901" s="57"/>
      <c r="Q901" s="57"/>
    </row>
    <row r="902">
      <c r="A902" s="60" t="s">
        <v>53</v>
      </c>
      <c r="B902" s="60" t="s">
        <v>465</v>
      </c>
      <c r="C902" s="57"/>
      <c r="D902" s="57"/>
      <c r="E902" s="57"/>
      <c r="F902" s="57"/>
      <c r="G902" s="57"/>
      <c r="H902" s="57"/>
      <c r="I902" s="57"/>
      <c r="J902" s="57"/>
      <c r="K902" s="63"/>
      <c r="L902" s="57"/>
      <c r="M902" s="57"/>
      <c r="N902" s="57"/>
      <c r="O902" s="57"/>
      <c r="P902" s="57"/>
      <c r="Q902" s="57"/>
    </row>
    <row r="903">
      <c r="A903" s="60" t="s">
        <v>50</v>
      </c>
      <c r="B903" s="60" t="s">
        <v>425</v>
      </c>
      <c r="C903" s="57"/>
      <c r="D903" s="57"/>
      <c r="E903" s="57"/>
      <c r="F903" s="57"/>
      <c r="G903" s="57"/>
      <c r="H903" s="57"/>
      <c r="I903" s="57"/>
      <c r="J903" s="57"/>
      <c r="K903" s="63"/>
      <c r="L903" s="57"/>
      <c r="M903" s="57"/>
      <c r="N903" s="57"/>
      <c r="O903" s="57"/>
      <c r="P903" s="57"/>
      <c r="Q903" s="57"/>
    </row>
    <row r="904">
      <c r="A904" s="60" t="s">
        <v>438</v>
      </c>
      <c r="B904" s="60" t="s">
        <v>436</v>
      </c>
      <c r="C904" s="57"/>
      <c r="D904" s="57"/>
      <c r="E904" s="57"/>
      <c r="F904" s="57"/>
      <c r="G904" s="57"/>
      <c r="H904" s="57"/>
      <c r="I904" s="57"/>
      <c r="J904" s="57"/>
      <c r="K904" s="63"/>
      <c r="L904" s="57"/>
      <c r="M904" s="57"/>
      <c r="N904" s="57"/>
      <c r="O904" s="57"/>
      <c r="P904" s="57"/>
      <c r="Q904" s="57"/>
    </row>
    <row r="905">
      <c r="A905" s="60" t="s">
        <v>439</v>
      </c>
      <c r="B905" s="60" t="s">
        <v>440</v>
      </c>
      <c r="C905" s="57"/>
      <c r="D905" s="57"/>
      <c r="E905" s="57"/>
      <c r="F905" s="57"/>
      <c r="G905" s="57"/>
      <c r="H905" s="57"/>
      <c r="I905" s="57"/>
      <c r="J905" s="57"/>
      <c r="K905" s="63"/>
      <c r="L905" s="57"/>
      <c r="M905" s="57"/>
      <c r="N905" s="57"/>
      <c r="O905" s="57"/>
      <c r="P905" s="57"/>
      <c r="Q905" s="57"/>
    </row>
    <row r="906">
      <c r="A906" s="60" t="s">
        <v>441</v>
      </c>
      <c r="B906" s="60">
        <v>3.0</v>
      </c>
      <c r="C906" s="57"/>
      <c r="D906" s="57"/>
      <c r="E906" s="57"/>
      <c r="F906" s="57"/>
      <c r="G906" s="57"/>
      <c r="H906" s="57"/>
      <c r="I906" s="57"/>
      <c r="J906" s="57"/>
      <c r="K906" s="63"/>
      <c r="L906" s="57"/>
      <c r="M906" s="57"/>
      <c r="N906" s="57"/>
      <c r="O906" s="57"/>
      <c r="P906" s="57"/>
      <c r="Q906" s="57"/>
    </row>
    <row r="907">
      <c r="A907" s="60" t="s">
        <v>442</v>
      </c>
      <c r="B907" s="60" t="s">
        <v>424</v>
      </c>
      <c r="C907" s="57"/>
      <c r="D907" s="57"/>
      <c r="E907" s="57"/>
      <c r="F907" s="57"/>
      <c r="G907" s="57"/>
      <c r="H907" s="57"/>
      <c r="I907" s="57"/>
      <c r="J907" s="57"/>
      <c r="K907" s="63"/>
      <c r="L907" s="57"/>
      <c r="M907" s="57"/>
      <c r="N907" s="57"/>
      <c r="O907" s="57"/>
      <c r="P907" s="57"/>
      <c r="Q907" s="57"/>
    </row>
    <row r="908">
      <c r="A908" s="60" t="s">
        <v>444</v>
      </c>
      <c r="B908" s="60" t="s">
        <v>443</v>
      </c>
      <c r="C908" s="57"/>
      <c r="D908" s="57"/>
      <c r="E908" s="57"/>
      <c r="F908" s="57"/>
      <c r="G908" s="57"/>
      <c r="H908" s="57"/>
      <c r="I908" s="57"/>
      <c r="J908" s="57"/>
      <c r="K908" s="63"/>
      <c r="L908" s="57"/>
      <c r="M908" s="57"/>
      <c r="N908" s="57"/>
      <c r="O908" s="57"/>
      <c r="P908" s="57"/>
      <c r="Q908" s="57"/>
    </row>
    <row r="909">
      <c r="A909" s="60" t="s">
        <v>446</v>
      </c>
      <c r="B909" s="60" t="s">
        <v>566</v>
      </c>
      <c r="C909" s="57"/>
      <c r="D909" s="57"/>
      <c r="E909" s="57"/>
      <c r="F909" s="57"/>
      <c r="G909" s="57"/>
      <c r="H909" s="57"/>
      <c r="I909" s="57"/>
      <c r="J909" s="57"/>
      <c r="K909" s="63"/>
      <c r="L909" s="57"/>
      <c r="M909" s="57"/>
      <c r="N909" s="57"/>
      <c r="O909" s="57"/>
      <c r="P909" s="57"/>
      <c r="Q909" s="57"/>
    </row>
    <row r="910">
      <c r="A910" s="60" t="s">
        <v>447</v>
      </c>
      <c r="B910" s="60" t="s">
        <v>487</v>
      </c>
      <c r="C910" s="57"/>
      <c r="D910" s="57"/>
      <c r="E910" s="57"/>
      <c r="F910" s="57"/>
      <c r="G910" s="57"/>
      <c r="H910" s="57"/>
      <c r="I910" s="57"/>
      <c r="J910" s="57"/>
      <c r="K910" s="63"/>
      <c r="L910" s="57"/>
      <c r="M910" s="57"/>
      <c r="N910" s="57"/>
      <c r="O910" s="57"/>
      <c r="P910" s="57"/>
      <c r="Q910" s="57"/>
    </row>
    <row r="911">
      <c r="A911" s="60" t="s">
        <v>674</v>
      </c>
      <c r="B911" s="60" t="s">
        <v>675</v>
      </c>
      <c r="C911" s="57"/>
      <c r="D911" s="57"/>
      <c r="E911" s="57"/>
      <c r="F911" s="57"/>
      <c r="G911" s="57"/>
      <c r="H911" s="57"/>
      <c r="I911" s="57"/>
      <c r="J911" s="57"/>
      <c r="K911" s="63"/>
      <c r="L911" s="57"/>
      <c r="M911" s="57"/>
      <c r="N911" s="57"/>
      <c r="O911" s="57"/>
      <c r="P911" s="57"/>
      <c r="Q911" s="57"/>
    </row>
    <row r="912">
      <c r="A912" s="76" t="s">
        <v>201</v>
      </c>
      <c r="B912" s="60" t="s">
        <v>539</v>
      </c>
      <c r="C912" s="57"/>
      <c r="D912" s="57"/>
      <c r="E912" s="57"/>
      <c r="F912" s="57"/>
      <c r="G912" s="57"/>
      <c r="H912" s="57"/>
      <c r="I912" s="57"/>
      <c r="J912" s="57"/>
      <c r="K912" s="63"/>
      <c r="L912" s="57"/>
      <c r="M912" s="57"/>
      <c r="N912" s="57"/>
      <c r="O912" s="57"/>
      <c r="P912" s="57"/>
      <c r="Q912" s="57"/>
    </row>
    <row r="913">
      <c r="A913" s="60" t="s">
        <v>38</v>
      </c>
      <c r="B913" s="26"/>
      <c r="C913" s="57"/>
      <c r="D913" s="57"/>
      <c r="E913" s="57"/>
      <c r="F913" s="57"/>
      <c r="G913" s="57"/>
      <c r="H913" s="65">
        <v>1000.0</v>
      </c>
      <c r="I913" s="57">
        <f t="shared" ref="I913:I914" si="406">ROUNDDOWN(H913*1.1,0)</f>
        <v>1100</v>
      </c>
      <c r="J913" s="57">
        <f t="shared" ref="J913:J914" si="407">ROUNDDOWN(H913*1.21,0)</f>
        <v>1210</v>
      </c>
      <c r="K913" s="63">
        <f t="shared" ref="K913:K914" si="408">ROUNDDOWN(H913*1.33,0)</f>
        <v>1330</v>
      </c>
      <c r="L913" s="57">
        <f t="shared" ref="L913:L914" si="409">ROUNDDOWN(H913*1.46,0)</f>
        <v>1460</v>
      </c>
      <c r="M913" s="57">
        <f t="shared" ref="M913:M914" si="410">ROUNDDOWN(H913*1.6,0)</f>
        <v>1600</v>
      </c>
      <c r="N913" s="57">
        <f t="shared" ref="N913:N914" si="411">ROUNDDOWN(H913*1.76,0)</f>
        <v>1760</v>
      </c>
      <c r="O913" s="57">
        <f t="shared" ref="O913:O914" si="412">ROUNDDOWN(H913*1.93,0)</f>
        <v>1930</v>
      </c>
      <c r="P913" s="57">
        <f t="shared" ref="P913:P914" si="413">ROUNDDOWN(H913*2.12,0)</f>
        <v>2120</v>
      </c>
      <c r="Q913" s="57"/>
    </row>
    <row r="914">
      <c r="A914" s="60" t="s">
        <v>24</v>
      </c>
      <c r="B914" s="60"/>
      <c r="C914" s="57"/>
      <c r="D914" s="57"/>
      <c r="E914" s="57"/>
      <c r="F914" s="57"/>
      <c r="G914" s="57"/>
      <c r="H914" s="65">
        <v>26.0</v>
      </c>
      <c r="I914" s="57">
        <f t="shared" si="406"/>
        <v>28</v>
      </c>
      <c r="J914" s="57">
        <f t="shared" si="407"/>
        <v>31</v>
      </c>
      <c r="K914" s="63">
        <f t="shared" si="408"/>
        <v>34</v>
      </c>
      <c r="L914" s="57">
        <f t="shared" si="409"/>
        <v>37</v>
      </c>
      <c r="M914" s="57">
        <f t="shared" si="410"/>
        <v>41</v>
      </c>
      <c r="N914" s="57">
        <f t="shared" si="411"/>
        <v>45</v>
      </c>
      <c r="O914" s="57">
        <f t="shared" si="412"/>
        <v>50</v>
      </c>
      <c r="P914" s="57">
        <f t="shared" si="413"/>
        <v>55</v>
      </c>
      <c r="Q914" s="57"/>
    </row>
    <row r="915">
      <c r="A915" s="60" t="s">
        <v>428</v>
      </c>
      <c r="B915" s="60" t="s">
        <v>654</v>
      </c>
      <c r="C915" s="57"/>
      <c r="D915" s="57"/>
      <c r="E915" s="57"/>
      <c r="F915" s="57"/>
      <c r="G915" s="57"/>
      <c r="H915" s="57"/>
      <c r="I915" s="57"/>
      <c r="J915" s="57"/>
      <c r="K915" s="63"/>
      <c r="L915" s="57"/>
      <c r="M915" s="57"/>
      <c r="N915" s="57"/>
      <c r="O915" s="57"/>
      <c r="P915" s="57"/>
      <c r="Q915" s="57"/>
    </row>
    <row r="916">
      <c r="A916" s="60" t="s">
        <v>55</v>
      </c>
      <c r="B916" s="60" t="s">
        <v>651</v>
      </c>
      <c r="C916" s="57"/>
      <c r="D916" s="57"/>
      <c r="E916" s="57"/>
      <c r="F916" s="57"/>
      <c r="G916" s="57"/>
      <c r="H916" s="57"/>
      <c r="I916" s="57"/>
      <c r="J916" s="57"/>
      <c r="K916" s="63"/>
      <c r="L916" s="57"/>
      <c r="M916" s="57"/>
      <c r="N916" s="57"/>
      <c r="O916" s="57"/>
      <c r="P916" s="57"/>
      <c r="Q916" s="57"/>
    </row>
    <row r="917">
      <c r="A917" s="60" t="s">
        <v>49</v>
      </c>
      <c r="B917" s="60" t="s">
        <v>466</v>
      </c>
      <c r="C917" s="57"/>
      <c r="D917" s="57"/>
      <c r="E917" s="57"/>
      <c r="F917" s="57"/>
      <c r="G917" s="57"/>
      <c r="H917" s="57"/>
      <c r="I917" s="57"/>
      <c r="J917" s="57"/>
      <c r="K917" s="63"/>
      <c r="L917" s="57"/>
      <c r="M917" s="57"/>
      <c r="N917" s="57"/>
      <c r="O917" s="57"/>
      <c r="P917" s="57"/>
      <c r="Q917" s="57"/>
    </row>
    <row r="918">
      <c r="A918" s="60" t="s">
        <v>422</v>
      </c>
      <c r="B918" s="60" t="s">
        <v>676</v>
      </c>
      <c r="C918" s="57"/>
      <c r="D918" s="57"/>
      <c r="E918" s="57"/>
      <c r="F918" s="57"/>
      <c r="G918" s="57"/>
      <c r="H918" s="57"/>
      <c r="I918" s="57"/>
      <c r="J918" s="57"/>
      <c r="K918" s="63"/>
      <c r="L918" s="57"/>
      <c r="M918" s="57"/>
      <c r="N918" s="57"/>
      <c r="O918" s="57"/>
      <c r="P918" s="57"/>
      <c r="Q918" s="57"/>
    </row>
    <row r="919">
      <c r="A919" s="60" t="s">
        <v>435</v>
      </c>
      <c r="B919" s="60" t="s">
        <v>436</v>
      </c>
      <c r="C919" s="57"/>
      <c r="D919" s="57"/>
      <c r="E919" s="57"/>
      <c r="F919" s="57"/>
      <c r="G919" s="57"/>
      <c r="H919" s="57"/>
      <c r="I919" s="57"/>
      <c r="J919" s="57"/>
      <c r="K919" s="63"/>
      <c r="L919" s="57"/>
      <c r="M919" s="57"/>
      <c r="N919" s="57"/>
      <c r="O919" s="57"/>
      <c r="P919" s="57"/>
      <c r="Q919" s="57"/>
    </row>
    <row r="920">
      <c r="A920" s="60" t="s">
        <v>53</v>
      </c>
      <c r="B920" s="60" t="s">
        <v>654</v>
      </c>
      <c r="C920" s="57"/>
      <c r="D920" s="57"/>
      <c r="E920" s="57"/>
      <c r="F920" s="57"/>
      <c r="G920" s="57"/>
      <c r="H920" s="57"/>
      <c r="I920" s="57"/>
      <c r="J920" s="57"/>
      <c r="K920" s="63"/>
      <c r="L920" s="57"/>
      <c r="M920" s="57"/>
      <c r="N920" s="57"/>
      <c r="O920" s="57"/>
      <c r="P920" s="57"/>
      <c r="Q920" s="57"/>
    </row>
    <row r="921">
      <c r="A921" s="60" t="s">
        <v>50</v>
      </c>
      <c r="B921" s="60" t="s">
        <v>98</v>
      </c>
      <c r="C921" s="57"/>
      <c r="D921" s="57"/>
      <c r="E921" s="57"/>
      <c r="F921" s="57"/>
      <c r="G921" s="57"/>
      <c r="H921" s="57"/>
      <c r="I921" s="57"/>
      <c r="J921" s="57"/>
      <c r="K921" s="63"/>
      <c r="L921" s="57"/>
      <c r="M921" s="57"/>
      <c r="N921" s="57"/>
      <c r="O921" s="57"/>
      <c r="P921" s="57"/>
      <c r="Q921" s="57"/>
    </row>
    <row r="922">
      <c r="A922" s="60" t="s">
        <v>56</v>
      </c>
      <c r="B922" s="60" t="s">
        <v>548</v>
      </c>
      <c r="C922" s="57"/>
      <c r="D922" s="57"/>
      <c r="E922" s="57"/>
      <c r="F922" s="57"/>
      <c r="G922" s="57"/>
      <c r="H922" s="57"/>
      <c r="I922" s="57"/>
      <c r="J922" s="57"/>
      <c r="K922" s="63"/>
      <c r="L922" s="57"/>
      <c r="M922" s="57"/>
      <c r="N922" s="57"/>
      <c r="O922" s="57"/>
      <c r="P922" s="57"/>
      <c r="Q922" s="57"/>
    </row>
    <row r="923">
      <c r="A923" s="60" t="s">
        <v>439</v>
      </c>
      <c r="B923" s="60" t="s">
        <v>502</v>
      </c>
      <c r="C923" s="57"/>
      <c r="D923" s="57"/>
      <c r="E923" s="57"/>
      <c r="F923" s="57"/>
      <c r="G923" s="57"/>
      <c r="H923" s="57"/>
      <c r="I923" s="57"/>
      <c r="J923" s="57"/>
      <c r="K923" s="63"/>
      <c r="L923" s="57"/>
      <c r="M923" s="57"/>
      <c r="N923" s="57"/>
      <c r="O923" s="57"/>
      <c r="P923" s="57"/>
      <c r="Q923" s="57"/>
    </row>
    <row r="924">
      <c r="A924" s="60" t="s">
        <v>444</v>
      </c>
      <c r="B924" s="60" t="s">
        <v>505</v>
      </c>
      <c r="C924" s="57"/>
      <c r="D924" s="57"/>
      <c r="E924" s="57"/>
      <c r="F924" s="57"/>
      <c r="G924" s="57"/>
      <c r="H924" s="57"/>
      <c r="I924" s="57"/>
      <c r="J924" s="57"/>
      <c r="K924" s="63"/>
      <c r="L924" s="57"/>
      <c r="M924" s="57"/>
      <c r="N924" s="57"/>
      <c r="O924" s="57"/>
      <c r="P924" s="57"/>
      <c r="Q924" s="57"/>
    </row>
    <row r="925">
      <c r="A925" s="60" t="s">
        <v>446</v>
      </c>
      <c r="B925" s="60" t="s">
        <v>677</v>
      </c>
      <c r="C925" s="57"/>
      <c r="D925" s="57"/>
      <c r="E925" s="57"/>
      <c r="F925" s="57"/>
      <c r="G925" s="57"/>
      <c r="H925" s="57"/>
      <c r="I925" s="57"/>
      <c r="J925" s="57"/>
      <c r="K925" s="63"/>
      <c r="L925" s="57"/>
      <c r="M925" s="57"/>
      <c r="N925" s="57"/>
      <c r="O925" s="57"/>
      <c r="P925" s="57"/>
      <c r="Q925" s="57"/>
    </row>
    <row r="926">
      <c r="A926" s="76" t="s">
        <v>203</v>
      </c>
      <c r="B926" s="60" t="s">
        <v>468</v>
      </c>
      <c r="C926" s="57"/>
      <c r="D926" s="57"/>
      <c r="E926" s="57"/>
      <c r="F926" s="57"/>
      <c r="G926" s="57"/>
      <c r="H926" s="57"/>
      <c r="I926" s="57"/>
      <c r="J926" s="57"/>
      <c r="K926" s="63"/>
      <c r="L926" s="57"/>
      <c r="M926" s="57"/>
      <c r="N926" s="57"/>
      <c r="O926" s="57"/>
      <c r="P926" s="57"/>
      <c r="Q926" s="57"/>
    </row>
    <row r="927">
      <c r="A927" s="60" t="s">
        <v>38</v>
      </c>
      <c r="B927" s="60"/>
      <c r="C927" s="57"/>
      <c r="D927" s="57"/>
      <c r="E927" s="57"/>
      <c r="F927" s="57"/>
      <c r="G927" s="57"/>
      <c r="H927" s="65">
        <v>1050.0</v>
      </c>
      <c r="I927" s="57">
        <f t="shared" ref="I927:I929" si="414">ROUNDDOWN(H927*1.1,0)</f>
        <v>1155</v>
      </c>
      <c r="J927" s="57">
        <f t="shared" ref="J927:J929" si="415">ROUNDDOWN(H927*1.21,0)</f>
        <v>1270</v>
      </c>
      <c r="K927" s="63">
        <f t="shared" ref="K927:K929" si="416">ROUNDDOWN(H927*1.33,0)</f>
        <v>1396</v>
      </c>
      <c r="L927" s="57">
        <f t="shared" ref="L927:L929" si="417">ROUNDDOWN(H927*1.46,0)</f>
        <v>1533</v>
      </c>
      <c r="M927" s="57">
        <f t="shared" ref="M927:M929" si="418">ROUNDDOWN(H927*1.6,0)</f>
        <v>1680</v>
      </c>
      <c r="N927" s="57">
        <f t="shared" ref="N927:N929" si="419">ROUNDDOWN(H927*1.76,0)</f>
        <v>1848</v>
      </c>
      <c r="O927" s="57">
        <f t="shared" ref="O927:O929" si="420">ROUNDDOWN(H927*1.93,0)</f>
        <v>2026</v>
      </c>
      <c r="P927" s="57">
        <f t="shared" ref="P927:P929" si="421">ROUNDDOWN(H927*2.12,0)</f>
        <v>2226</v>
      </c>
      <c r="Q927" s="57"/>
    </row>
    <row r="928">
      <c r="A928" s="60" t="s">
        <v>24</v>
      </c>
      <c r="B928" s="26"/>
      <c r="C928" s="57"/>
      <c r="D928" s="57"/>
      <c r="E928" s="57"/>
      <c r="F928" s="57"/>
      <c r="G928" s="57"/>
      <c r="H928" s="65">
        <v>600.0</v>
      </c>
      <c r="I928" s="57">
        <f t="shared" si="414"/>
        <v>660</v>
      </c>
      <c r="J928" s="57">
        <f t="shared" si="415"/>
        <v>726</v>
      </c>
      <c r="K928" s="63">
        <f t="shared" si="416"/>
        <v>798</v>
      </c>
      <c r="L928" s="57">
        <f t="shared" si="417"/>
        <v>876</v>
      </c>
      <c r="M928" s="57">
        <f t="shared" si="418"/>
        <v>960</v>
      </c>
      <c r="N928" s="57">
        <f t="shared" si="419"/>
        <v>1056</v>
      </c>
      <c r="O928" s="57">
        <f t="shared" si="420"/>
        <v>1158</v>
      </c>
      <c r="P928" s="57">
        <f t="shared" si="421"/>
        <v>1272</v>
      </c>
      <c r="Q928" s="57"/>
    </row>
    <row r="929">
      <c r="A929" s="60" t="s">
        <v>30</v>
      </c>
      <c r="B929" s="26"/>
      <c r="C929" s="57"/>
      <c r="D929" s="57"/>
      <c r="E929" s="57"/>
      <c r="F929" s="57"/>
      <c r="G929" s="57"/>
      <c r="H929" s="65">
        <v>150.0</v>
      </c>
      <c r="I929" s="57">
        <f t="shared" si="414"/>
        <v>165</v>
      </c>
      <c r="J929" s="57">
        <f t="shared" si="415"/>
        <v>181</v>
      </c>
      <c r="K929" s="63">
        <f t="shared" si="416"/>
        <v>199</v>
      </c>
      <c r="L929" s="57">
        <f t="shared" si="417"/>
        <v>219</v>
      </c>
      <c r="M929" s="57">
        <f t="shared" si="418"/>
        <v>240</v>
      </c>
      <c r="N929" s="57">
        <f t="shared" si="419"/>
        <v>264</v>
      </c>
      <c r="O929" s="57">
        <f t="shared" si="420"/>
        <v>289</v>
      </c>
      <c r="P929" s="57">
        <f t="shared" si="421"/>
        <v>318</v>
      </c>
      <c r="Q929" s="57"/>
    </row>
    <row r="930">
      <c r="A930" s="60" t="s">
        <v>428</v>
      </c>
      <c r="B930" s="60" t="s">
        <v>660</v>
      </c>
      <c r="C930" s="57"/>
      <c r="D930" s="57"/>
      <c r="E930" s="57"/>
      <c r="F930" s="57"/>
      <c r="G930" s="57"/>
      <c r="H930" s="57"/>
      <c r="I930" s="57"/>
      <c r="J930" s="57"/>
      <c r="K930" s="63"/>
      <c r="L930" s="57"/>
      <c r="M930" s="57"/>
      <c r="N930" s="57"/>
      <c r="O930" s="57"/>
      <c r="P930" s="57"/>
      <c r="Q930" s="57"/>
    </row>
    <row r="931">
      <c r="A931" s="60" t="s">
        <v>55</v>
      </c>
      <c r="B931" s="60" t="s">
        <v>430</v>
      </c>
      <c r="C931" s="57"/>
      <c r="D931" s="57"/>
      <c r="E931" s="57"/>
      <c r="F931" s="57"/>
      <c r="G931" s="57"/>
      <c r="H931" s="57"/>
      <c r="I931" s="57"/>
      <c r="J931" s="57"/>
      <c r="K931" s="63"/>
      <c r="L931" s="57"/>
      <c r="M931" s="57"/>
      <c r="N931" s="57"/>
      <c r="O931" s="57"/>
      <c r="P931" s="57"/>
      <c r="Q931" s="57"/>
    </row>
    <row r="932">
      <c r="A932" s="60" t="s">
        <v>51</v>
      </c>
      <c r="B932" s="60" t="s">
        <v>451</v>
      </c>
      <c r="C932" s="57"/>
      <c r="D932" s="57"/>
      <c r="E932" s="57"/>
      <c r="F932" s="57"/>
      <c r="G932" s="57"/>
      <c r="H932" s="57"/>
      <c r="I932" s="57"/>
      <c r="J932" s="57"/>
      <c r="K932" s="63"/>
      <c r="L932" s="57"/>
      <c r="M932" s="57"/>
      <c r="N932" s="57"/>
      <c r="O932" s="57"/>
      <c r="P932" s="57"/>
      <c r="Q932" s="57"/>
    </row>
    <row r="933">
      <c r="A933" s="60" t="s">
        <v>49</v>
      </c>
      <c r="B933" s="60" t="s">
        <v>541</v>
      </c>
      <c r="C933" s="57"/>
      <c r="D933" s="57"/>
      <c r="E933" s="57"/>
      <c r="F933" s="57"/>
      <c r="G933" s="57"/>
      <c r="H933" s="57"/>
      <c r="I933" s="57"/>
      <c r="J933" s="57"/>
      <c r="K933" s="63"/>
      <c r="L933" s="57"/>
      <c r="M933" s="57"/>
      <c r="N933" s="57"/>
      <c r="O933" s="57"/>
      <c r="P933" s="57"/>
      <c r="Q933" s="57"/>
    </row>
    <row r="934">
      <c r="A934" s="60" t="s">
        <v>432</v>
      </c>
      <c r="B934" s="60" t="s">
        <v>678</v>
      </c>
      <c r="C934" s="57"/>
      <c r="D934" s="57"/>
      <c r="E934" s="57"/>
      <c r="F934" s="57"/>
      <c r="G934" s="57"/>
      <c r="H934" s="57"/>
      <c r="I934" s="57"/>
      <c r="J934" s="57"/>
      <c r="K934" s="63"/>
      <c r="L934" s="57"/>
      <c r="M934" s="57"/>
      <c r="N934" s="57"/>
      <c r="O934" s="57"/>
      <c r="P934" s="57"/>
      <c r="Q934" s="57"/>
    </row>
    <row r="935">
      <c r="A935" s="60" t="s">
        <v>53</v>
      </c>
      <c r="B935" s="60" t="s">
        <v>631</v>
      </c>
      <c r="C935" s="65"/>
      <c r="D935" s="57"/>
      <c r="E935" s="57"/>
      <c r="F935" s="57"/>
      <c r="G935" s="57"/>
      <c r="H935" s="57"/>
      <c r="I935" s="57"/>
      <c r="J935" s="57"/>
      <c r="K935" s="63"/>
      <c r="L935" s="57"/>
      <c r="M935" s="57"/>
      <c r="N935" s="57"/>
      <c r="O935" s="57"/>
      <c r="P935" s="57"/>
      <c r="Q935" s="57"/>
    </row>
    <row r="936">
      <c r="A936" s="60" t="s">
        <v>50</v>
      </c>
      <c r="B936" s="60" t="s">
        <v>109</v>
      </c>
      <c r="C936" s="65"/>
      <c r="D936" s="57"/>
      <c r="E936" s="57"/>
      <c r="F936" s="57"/>
      <c r="G936" s="57"/>
      <c r="H936" s="57"/>
      <c r="I936" s="57"/>
      <c r="J936" s="57"/>
      <c r="K936" s="63"/>
      <c r="L936" s="57"/>
      <c r="M936" s="57"/>
      <c r="N936" s="57"/>
      <c r="O936" s="57"/>
      <c r="P936" s="57"/>
      <c r="Q936" s="57"/>
    </row>
    <row r="937">
      <c r="A937" s="60" t="s">
        <v>438</v>
      </c>
      <c r="B937" s="60" t="s">
        <v>436</v>
      </c>
      <c r="C937" s="65"/>
      <c r="D937" s="57"/>
      <c r="E937" s="57"/>
      <c r="F937" s="57"/>
      <c r="G937" s="57"/>
      <c r="H937" s="57"/>
      <c r="I937" s="57"/>
      <c r="J937" s="57"/>
      <c r="K937" s="63"/>
      <c r="L937" s="57"/>
      <c r="M937" s="57"/>
      <c r="N937" s="57"/>
      <c r="O937" s="57"/>
      <c r="P937" s="57"/>
      <c r="Q937" s="57"/>
    </row>
    <row r="938">
      <c r="A938" s="60" t="s">
        <v>439</v>
      </c>
      <c r="B938" s="60" t="s">
        <v>524</v>
      </c>
      <c r="C938" s="65"/>
      <c r="D938" s="57"/>
      <c r="E938" s="57"/>
      <c r="F938" s="57"/>
      <c r="G938" s="57"/>
      <c r="H938" s="57"/>
      <c r="I938" s="57"/>
      <c r="J938" s="57"/>
      <c r="K938" s="63"/>
      <c r="L938" s="57"/>
      <c r="M938" s="57"/>
      <c r="N938" s="57"/>
      <c r="O938" s="57"/>
      <c r="P938" s="57"/>
      <c r="Q938" s="57"/>
    </row>
    <row r="939">
      <c r="A939" s="60" t="s">
        <v>441</v>
      </c>
      <c r="B939" s="60">
        <v>6.0</v>
      </c>
      <c r="C939" s="65"/>
      <c r="D939" s="57"/>
      <c r="E939" s="57"/>
      <c r="F939" s="57"/>
      <c r="G939" s="57"/>
      <c r="H939" s="57"/>
      <c r="I939" s="57"/>
      <c r="J939" s="57"/>
      <c r="K939" s="63"/>
      <c r="L939" s="57"/>
      <c r="M939" s="57"/>
      <c r="N939" s="57"/>
      <c r="O939" s="57"/>
      <c r="P939" s="57"/>
      <c r="Q939" s="57"/>
    </row>
    <row r="940">
      <c r="A940" s="60" t="s">
        <v>442</v>
      </c>
      <c r="B940" s="60" t="s">
        <v>498</v>
      </c>
      <c r="C940" s="65"/>
      <c r="D940" s="57"/>
      <c r="E940" s="57"/>
      <c r="F940" s="57"/>
      <c r="G940" s="57"/>
      <c r="H940" s="57"/>
      <c r="I940" s="57"/>
      <c r="J940" s="57"/>
      <c r="K940" s="63"/>
      <c r="L940" s="57"/>
      <c r="M940" s="57"/>
      <c r="N940" s="57"/>
      <c r="O940" s="57"/>
      <c r="P940" s="57"/>
      <c r="Q940" s="57"/>
    </row>
    <row r="941">
      <c r="A941" s="60" t="s">
        <v>444</v>
      </c>
      <c r="B941" s="60" t="s">
        <v>445</v>
      </c>
      <c r="C941" s="65"/>
      <c r="D941" s="57"/>
      <c r="E941" s="57"/>
      <c r="F941" s="57"/>
      <c r="G941" s="57"/>
      <c r="H941" s="57"/>
      <c r="I941" s="57"/>
      <c r="J941" s="57"/>
      <c r="K941" s="63"/>
      <c r="L941" s="57"/>
      <c r="M941" s="57"/>
      <c r="N941" s="57"/>
      <c r="O941" s="57"/>
      <c r="P941" s="57"/>
      <c r="Q941" s="57"/>
    </row>
    <row r="942">
      <c r="A942" s="60" t="s">
        <v>446</v>
      </c>
      <c r="B942" s="60" t="s">
        <v>445</v>
      </c>
      <c r="C942" s="65"/>
      <c r="D942" s="57"/>
      <c r="E942" s="57"/>
      <c r="F942" s="57"/>
      <c r="G942" s="57"/>
      <c r="H942" s="57"/>
      <c r="I942" s="57"/>
      <c r="J942" s="57"/>
      <c r="K942" s="63"/>
      <c r="L942" s="57"/>
      <c r="M942" s="57"/>
      <c r="N942" s="57"/>
      <c r="O942" s="57"/>
      <c r="P942" s="57"/>
      <c r="Q942" s="57"/>
    </row>
    <row r="943">
      <c r="A943" s="60" t="s">
        <v>479</v>
      </c>
      <c r="B943" s="60" t="s">
        <v>478</v>
      </c>
      <c r="C943" s="65"/>
      <c r="D943" s="57"/>
      <c r="E943" s="57"/>
      <c r="F943" s="57"/>
      <c r="G943" s="57"/>
      <c r="H943" s="57"/>
      <c r="I943" s="57"/>
      <c r="J943" s="57"/>
      <c r="K943" s="63"/>
      <c r="L943" s="57"/>
      <c r="M943" s="57"/>
      <c r="N943" s="57"/>
      <c r="O943" s="57"/>
      <c r="P943" s="57"/>
      <c r="Q943" s="57"/>
    </row>
    <row r="944">
      <c r="A944" s="60" t="s">
        <v>540</v>
      </c>
      <c r="B944" s="60" t="s">
        <v>541</v>
      </c>
      <c r="C944" s="57"/>
      <c r="D944" s="57"/>
      <c r="E944" s="57"/>
      <c r="F944" s="57"/>
      <c r="G944" s="57"/>
      <c r="H944" s="57"/>
      <c r="I944" s="57"/>
      <c r="J944" s="57"/>
      <c r="K944" s="63"/>
      <c r="L944" s="57"/>
      <c r="M944" s="57"/>
      <c r="N944" s="57"/>
      <c r="O944" s="57"/>
      <c r="P944" s="57"/>
      <c r="Q944" s="57"/>
    </row>
    <row r="945">
      <c r="A945" s="60" t="s">
        <v>542</v>
      </c>
      <c r="B945" s="60" t="s">
        <v>425</v>
      </c>
      <c r="C945" s="57"/>
      <c r="D945" s="57"/>
      <c r="E945" s="57"/>
      <c r="F945" s="57"/>
      <c r="G945" s="57"/>
      <c r="H945" s="57"/>
      <c r="I945" s="57"/>
      <c r="J945" s="57"/>
      <c r="K945" s="63"/>
      <c r="L945" s="57"/>
      <c r="M945" s="57"/>
      <c r="N945" s="57"/>
      <c r="O945" s="57"/>
      <c r="P945" s="57"/>
      <c r="Q945" s="57"/>
    </row>
    <row r="946">
      <c r="A946" s="60" t="s">
        <v>543</v>
      </c>
      <c r="B946" s="81" t="s">
        <v>498</v>
      </c>
      <c r="C946" s="57"/>
      <c r="D946" s="57"/>
      <c r="E946" s="57"/>
      <c r="F946" s="57"/>
      <c r="G946" s="57"/>
      <c r="H946" s="57"/>
      <c r="I946" s="57"/>
      <c r="J946" s="57"/>
      <c r="K946" s="63"/>
      <c r="L946" s="57"/>
      <c r="M946" s="57"/>
      <c r="N946" s="57"/>
      <c r="O946" s="57"/>
      <c r="P946" s="57"/>
      <c r="Q946" s="57"/>
    </row>
    <row r="947">
      <c r="A947" s="60" t="s">
        <v>545</v>
      </c>
      <c r="B947" s="81" t="s">
        <v>445</v>
      </c>
      <c r="C947" s="57"/>
      <c r="D947" s="57"/>
      <c r="E947" s="57"/>
      <c r="F947" s="57"/>
      <c r="G947" s="57"/>
      <c r="H947" s="57"/>
      <c r="I947" s="57"/>
      <c r="J947" s="57"/>
      <c r="K947" s="63"/>
      <c r="L947" s="57"/>
      <c r="M947" s="57"/>
      <c r="N947" s="57"/>
      <c r="O947" s="57"/>
      <c r="P947" s="57"/>
      <c r="Q947" s="57"/>
    </row>
    <row r="948">
      <c r="A948" s="83" t="s">
        <v>204</v>
      </c>
      <c r="B948" s="60" t="s">
        <v>480</v>
      </c>
      <c r="C948" s="57"/>
      <c r="D948" s="57"/>
      <c r="E948" s="57"/>
      <c r="F948" s="57"/>
      <c r="G948" s="57"/>
      <c r="H948" s="57"/>
      <c r="I948" s="57"/>
      <c r="J948" s="57"/>
      <c r="K948" s="63"/>
      <c r="L948" s="57"/>
      <c r="M948" s="57"/>
      <c r="N948" s="57"/>
      <c r="O948" s="57"/>
      <c r="P948" s="57"/>
      <c r="Q948" s="57"/>
    </row>
    <row r="949">
      <c r="A949" s="60" t="s">
        <v>24</v>
      </c>
      <c r="B949" s="26"/>
      <c r="C949" s="57"/>
      <c r="D949" s="57"/>
      <c r="E949" s="57"/>
      <c r="F949" s="57"/>
      <c r="G949" s="57"/>
      <c r="H949" s="57"/>
      <c r="I949" s="57"/>
      <c r="J949" s="57"/>
      <c r="K949" s="66">
        <v>240.0</v>
      </c>
      <c r="L949" s="57">
        <f>ROUNDDOWN(K949*1.1,0)</f>
        <v>264</v>
      </c>
      <c r="M949" s="57">
        <f>ROUNDDOWN(K949*1.21,0)</f>
        <v>290</v>
      </c>
      <c r="N949" s="57">
        <f>ROUNDDOWN(K949*1.33,0)</f>
        <v>319</v>
      </c>
      <c r="O949" s="57">
        <f>ROUNDDOWN(K949*1.46,0)</f>
        <v>350</v>
      </c>
      <c r="P949" s="57">
        <f>ROUNDDOWN(K949*1.57,0)</f>
        <v>376</v>
      </c>
      <c r="Q949" s="57"/>
    </row>
    <row r="950">
      <c r="A950" s="60" t="s">
        <v>31</v>
      </c>
      <c r="B950" s="26"/>
      <c r="C950" s="57"/>
      <c r="D950" s="57"/>
      <c r="E950" s="57"/>
      <c r="F950" s="57"/>
      <c r="G950" s="57"/>
      <c r="H950" s="57"/>
      <c r="I950" s="57"/>
      <c r="J950" s="57"/>
      <c r="K950" s="66">
        <f t="shared" ref="K950:P950" si="422">ROUNDUP(K949*0.3,0)</f>
        <v>72</v>
      </c>
      <c r="L950" s="65">
        <f t="shared" si="422"/>
        <v>80</v>
      </c>
      <c r="M950" s="65">
        <f t="shared" si="422"/>
        <v>87</v>
      </c>
      <c r="N950" s="65">
        <f t="shared" si="422"/>
        <v>96</v>
      </c>
      <c r="O950" s="65">
        <f t="shared" si="422"/>
        <v>105</v>
      </c>
      <c r="P950" s="65">
        <f t="shared" si="422"/>
        <v>113</v>
      </c>
      <c r="Q950" s="57"/>
    </row>
    <row r="951">
      <c r="A951" s="60" t="s">
        <v>558</v>
      </c>
      <c r="B951" s="60" t="s">
        <v>559</v>
      </c>
      <c r="C951" s="57"/>
      <c r="D951" s="57"/>
      <c r="E951" s="57"/>
      <c r="F951" s="57"/>
      <c r="G951" s="57"/>
      <c r="H951" s="57"/>
      <c r="I951" s="57"/>
      <c r="J951" s="57"/>
      <c r="K951" s="63"/>
      <c r="L951" s="57"/>
      <c r="M951" s="57"/>
      <c r="N951" s="57"/>
      <c r="O951" s="57"/>
      <c r="P951" s="57"/>
      <c r="Q951" s="57"/>
    </row>
    <row r="952">
      <c r="A952" s="60" t="s">
        <v>560</v>
      </c>
      <c r="B952" s="60" t="s">
        <v>561</v>
      </c>
      <c r="C952" s="57"/>
      <c r="D952" s="57"/>
      <c r="E952" s="57"/>
      <c r="F952" s="57"/>
      <c r="G952" s="57"/>
      <c r="H952" s="57"/>
      <c r="I952" s="57"/>
      <c r="J952" s="57"/>
      <c r="K952" s="63"/>
      <c r="L952" s="57"/>
      <c r="M952" s="57"/>
      <c r="N952" s="57"/>
      <c r="O952" s="57"/>
      <c r="P952" s="57"/>
      <c r="Q952" s="57"/>
    </row>
    <row r="953">
      <c r="A953" s="60" t="s">
        <v>562</v>
      </c>
      <c r="B953" s="60" t="s">
        <v>498</v>
      </c>
      <c r="C953" s="57"/>
      <c r="D953" s="57"/>
      <c r="E953" s="57"/>
      <c r="F953" s="57"/>
      <c r="G953" s="57"/>
      <c r="H953" s="57"/>
      <c r="I953" s="57"/>
      <c r="J953" s="57"/>
      <c r="K953" s="63"/>
      <c r="L953" s="57"/>
      <c r="M953" s="57"/>
      <c r="N953" s="57"/>
      <c r="O953" s="57"/>
      <c r="P953" s="57"/>
      <c r="Q953" s="57"/>
    </row>
    <row r="954">
      <c r="A954" s="60" t="s">
        <v>422</v>
      </c>
      <c r="B954" s="60" t="s">
        <v>563</v>
      </c>
      <c r="C954" s="57"/>
      <c r="D954" s="57"/>
      <c r="E954" s="57"/>
      <c r="F954" s="57"/>
      <c r="G954" s="57"/>
      <c r="H954" s="57"/>
      <c r="I954" s="57"/>
      <c r="J954" s="57"/>
      <c r="K954" s="63"/>
      <c r="L954" s="57"/>
      <c r="M954" s="57"/>
      <c r="N954" s="57"/>
      <c r="O954" s="57"/>
      <c r="P954" s="57"/>
      <c r="Q954" s="57"/>
    </row>
    <row r="955">
      <c r="A955" s="60" t="s">
        <v>679</v>
      </c>
      <c r="B955" s="60" t="s">
        <v>505</v>
      </c>
      <c r="C955" s="57"/>
      <c r="D955" s="57"/>
      <c r="E955" s="57"/>
      <c r="F955" s="57"/>
      <c r="G955" s="57"/>
      <c r="H955" s="57"/>
      <c r="I955" s="57"/>
      <c r="J955" s="57"/>
      <c r="K955" s="63"/>
      <c r="L955" s="57"/>
      <c r="M955" s="57"/>
      <c r="N955" s="57"/>
      <c r="O955" s="57"/>
      <c r="P955" s="57"/>
      <c r="Q955" s="57"/>
    </row>
    <row r="956">
      <c r="A956" s="60" t="s">
        <v>50</v>
      </c>
      <c r="B956" s="60" t="s">
        <v>98</v>
      </c>
      <c r="C956" s="57"/>
      <c r="D956" s="57"/>
      <c r="E956" s="57"/>
      <c r="F956" s="57"/>
      <c r="G956" s="57"/>
      <c r="H956" s="57"/>
      <c r="I956" s="57"/>
      <c r="J956" s="57"/>
      <c r="K956" s="63"/>
      <c r="L956" s="57"/>
      <c r="M956" s="57"/>
      <c r="N956" s="57"/>
      <c r="O956" s="57"/>
      <c r="P956" s="57"/>
      <c r="Q956" s="57"/>
    </row>
    <row r="957">
      <c r="A957" s="60" t="s">
        <v>565</v>
      </c>
      <c r="B957" s="60" t="s">
        <v>680</v>
      </c>
      <c r="C957" s="57"/>
      <c r="D957" s="57"/>
      <c r="E957" s="57"/>
      <c r="F957" s="57"/>
      <c r="G957" s="57"/>
      <c r="H957" s="57"/>
      <c r="I957" s="57"/>
      <c r="J957" s="57"/>
      <c r="K957" s="63"/>
      <c r="L957" s="57"/>
      <c r="M957" s="57"/>
      <c r="N957" s="57"/>
      <c r="O957" s="57"/>
      <c r="P957" s="57"/>
      <c r="Q957" s="57"/>
    </row>
    <row r="958">
      <c r="A958" s="60" t="s">
        <v>567</v>
      </c>
      <c r="B958" s="60" t="s">
        <v>502</v>
      </c>
      <c r="C958" s="57"/>
      <c r="D958" s="57"/>
      <c r="E958" s="57"/>
      <c r="F958" s="57"/>
      <c r="G958" s="57"/>
      <c r="H958" s="57"/>
      <c r="I958" s="57"/>
      <c r="J958" s="57"/>
      <c r="K958" s="63"/>
      <c r="L958" s="57"/>
      <c r="M958" s="57"/>
      <c r="N958" s="57"/>
      <c r="O958" s="57"/>
      <c r="P958" s="57"/>
      <c r="Q958" s="57"/>
    </row>
    <row r="959">
      <c r="A959" s="60" t="s">
        <v>568</v>
      </c>
      <c r="B959" s="60" t="s">
        <v>681</v>
      </c>
      <c r="C959" s="57"/>
      <c r="D959" s="57"/>
      <c r="E959" s="57"/>
      <c r="F959" s="57"/>
      <c r="G959" s="57"/>
      <c r="H959" s="57"/>
      <c r="I959" s="57"/>
      <c r="J959" s="57"/>
      <c r="K959" s="63"/>
      <c r="L959" s="57"/>
      <c r="M959" s="57"/>
      <c r="N959" s="57"/>
      <c r="O959" s="57"/>
      <c r="P959" s="57"/>
      <c r="Q959" s="57"/>
    </row>
    <row r="960">
      <c r="A960" s="60" t="s">
        <v>569</v>
      </c>
      <c r="B960" s="60" t="s">
        <v>462</v>
      </c>
      <c r="C960" s="57"/>
      <c r="D960" s="57"/>
      <c r="E960" s="57"/>
      <c r="F960" s="57"/>
      <c r="G960" s="57"/>
      <c r="H960" s="57"/>
      <c r="I960" s="57"/>
      <c r="J960" s="57"/>
      <c r="K960" s="63"/>
      <c r="L960" s="57"/>
      <c r="M960" s="57"/>
      <c r="N960" s="57"/>
      <c r="O960" s="57"/>
      <c r="P960" s="57"/>
      <c r="Q960" s="57"/>
    </row>
    <row r="961">
      <c r="A961" s="83" t="s">
        <v>238</v>
      </c>
      <c r="B961" s="60" t="s">
        <v>459</v>
      </c>
      <c r="C961" s="57"/>
      <c r="D961" s="57"/>
      <c r="E961" s="57"/>
      <c r="F961" s="57"/>
      <c r="G961" s="57"/>
      <c r="H961" s="57"/>
      <c r="I961" s="57"/>
      <c r="J961" s="57"/>
      <c r="K961" s="63"/>
      <c r="L961" s="57"/>
      <c r="M961" s="57"/>
      <c r="N961" s="57"/>
      <c r="O961" s="57"/>
      <c r="P961" s="57"/>
      <c r="Q961" s="57"/>
    </row>
    <row r="962">
      <c r="A962" s="60" t="s">
        <v>38</v>
      </c>
      <c r="B962" s="26"/>
      <c r="C962" s="57"/>
      <c r="D962" s="57"/>
      <c r="E962" s="57"/>
      <c r="F962" s="57"/>
      <c r="G962" s="57"/>
      <c r="H962" s="57"/>
      <c r="I962" s="57"/>
      <c r="J962" s="57"/>
      <c r="K962" s="66">
        <v>1070.0</v>
      </c>
      <c r="L962" s="57">
        <f t="shared" ref="L962:L965" si="423">ROUNDDOWN(K962*1.1,0)</f>
        <v>1177</v>
      </c>
      <c r="M962" s="57">
        <f t="shared" ref="M962:M965" si="424">ROUNDDOWN(K962*1.21,0)</f>
        <v>1294</v>
      </c>
      <c r="N962" s="57">
        <f t="shared" ref="N962:N965" si="425">ROUNDDOWN(K962*1.33,0)</f>
        <v>1423</v>
      </c>
      <c r="O962" s="57">
        <f t="shared" ref="O962:O965" si="426">ROUNDDOWN(K962*1.46,0)</f>
        <v>1562</v>
      </c>
      <c r="P962" s="57">
        <f t="shared" ref="P962:P965" si="427">ROUNDDOWN(K962*1.57,0)</f>
        <v>1679</v>
      </c>
      <c r="Q962" s="57"/>
    </row>
    <row r="963">
      <c r="A963" s="60" t="s">
        <v>598</v>
      </c>
      <c r="B963" s="26"/>
      <c r="C963" s="57"/>
      <c r="D963" s="57"/>
      <c r="E963" s="57"/>
      <c r="F963" s="57"/>
      <c r="G963" s="57"/>
      <c r="H963" s="57"/>
      <c r="I963" s="57"/>
      <c r="J963" s="57"/>
      <c r="K963" s="66">
        <v>30.0</v>
      </c>
      <c r="L963" s="57">
        <f t="shared" si="423"/>
        <v>33</v>
      </c>
      <c r="M963" s="57">
        <f t="shared" si="424"/>
        <v>36</v>
      </c>
      <c r="N963" s="57">
        <f t="shared" si="425"/>
        <v>39</v>
      </c>
      <c r="O963" s="57">
        <f t="shared" si="426"/>
        <v>43</v>
      </c>
      <c r="P963" s="57">
        <f t="shared" si="427"/>
        <v>47</v>
      </c>
      <c r="Q963" s="57"/>
    </row>
    <row r="964">
      <c r="A964" s="60" t="s">
        <v>599</v>
      </c>
      <c r="B964" s="26"/>
      <c r="C964" s="57"/>
      <c r="D964" s="57"/>
      <c r="E964" s="57"/>
      <c r="F964" s="57"/>
      <c r="G964" s="57"/>
      <c r="H964" s="57"/>
      <c r="I964" s="57"/>
      <c r="J964" s="57"/>
      <c r="K964" s="66">
        <v>100.0</v>
      </c>
      <c r="L964" s="57">
        <f t="shared" si="423"/>
        <v>110</v>
      </c>
      <c r="M964" s="57">
        <f t="shared" si="424"/>
        <v>121</v>
      </c>
      <c r="N964" s="57">
        <f t="shared" si="425"/>
        <v>133</v>
      </c>
      <c r="O964" s="57">
        <f t="shared" si="426"/>
        <v>146</v>
      </c>
      <c r="P964" s="57">
        <f t="shared" si="427"/>
        <v>157</v>
      </c>
      <c r="Q964" s="57"/>
    </row>
    <row r="965">
      <c r="A965" s="60" t="s">
        <v>600</v>
      </c>
      <c r="B965" s="26"/>
      <c r="C965" s="57"/>
      <c r="D965" s="57"/>
      <c r="E965" s="57"/>
      <c r="F965" s="57"/>
      <c r="G965" s="57"/>
      <c r="H965" s="57"/>
      <c r="I965" s="57"/>
      <c r="J965" s="57"/>
      <c r="K965" s="66">
        <v>350.0</v>
      </c>
      <c r="L965" s="57">
        <f t="shared" si="423"/>
        <v>385</v>
      </c>
      <c r="M965" s="57">
        <f t="shared" si="424"/>
        <v>423</v>
      </c>
      <c r="N965" s="57">
        <f t="shared" si="425"/>
        <v>465</v>
      </c>
      <c r="O965" s="57">
        <f t="shared" si="426"/>
        <v>511</v>
      </c>
      <c r="P965" s="57">
        <f t="shared" si="427"/>
        <v>549</v>
      </c>
      <c r="Q965" s="57"/>
    </row>
    <row r="966">
      <c r="A966" s="60" t="s">
        <v>428</v>
      </c>
      <c r="B966" s="60" t="s">
        <v>429</v>
      </c>
      <c r="C966" s="57"/>
      <c r="D966" s="57"/>
      <c r="E966" s="57"/>
      <c r="F966" s="57"/>
      <c r="G966" s="57"/>
      <c r="H966" s="57"/>
      <c r="I966" s="57"/>
      <c r="J966" s="57"/>
      <c r="K966" s="63"/>
      <c r="L966" s="57"/>
      <c r="M966" s="57"/>
      <c r="N966" s="57"/>
      <c r="O966" s="57"/>
      <c r="P966" s="57"/>
      <c r="Q966" s="57"/>
    </row>
    <row r="967">
      <c r="A967" s="60" t="s">
        <v>55</v>
      </c>
      <c r="B967" s="60" t="s">
        <v>430</v>
      </c>
      <c r="C967" s="57"/>
      <c r="D967" s="57"/>
      <c r="E967" s="57"/>
      <c r="F967" s="57"/>
      <c r="G967" s="57"/>
      <c r="H967" s="57"/>
      <c r="I967" s="57"/>
      <c r="J967" s="57"/>
      <c r="K967" s="63"/>
      <c r="L967" s="57"/>
      <c r="M967" s="57"/>
      <c r="N967" s="57"/>
      <c r="O967" s="57"/>
      <c r="P967" s="57"/>
      <c r="Q967" s="57"/>
    </row>
    <row r="968">
      <c r="A968" s="60" t="s">
        <v>51</v>
      </c>
      <c r="B968" s="60" t="s">
        <v>451</v>
      </c>
      <c r="C968" s="57"/>
      <c r="D968" s="57"/>
      <c r="E968" s="57"/>
      <c r="F968" s="57"/>
      <c r="G968" s="57"/>
      <c r="H968" s="57"/>
      <c r="I968" s="57"/>
      <c r="J968" s="57"/>
      <c r="K968" s="63"/>
      <c r="L968" s="57"/>
      <c r="M968" s="57"/>
      <c r="N968" s="57"/>
      <c r="O968" s="57"/>
      <c r="P968" s="57"/>
      <c r="Q968" s="57"/>
    </row>
    <row r="969">
      <c r="A969" s="60" t="s">
        <v>49</v>
      </c>
      <c r="B969" s="60" t="s">
        <v>448</v>
      </c>
      <c r="C969" s="57"/>
      <c r="D969" s="57"/>
      <c r="E969" s="57"/>
      <c r="F969" s="57"/>
      <c r="G969" s="57"/>
      <c r="H969" s="57"/>
      <c r="I969" s="57"/>
      <c r="J969" s="57"/>
      <c r="K969" s="63"/>
      <c r="L969" s="57"/>
      <c r="M969" s="57"/>
      <c r="N969" s="57"/>
      <c r="O969" s="57"/>
      <c r="P969" s="57"/>
      <c r="Q969" s="57"/>
    </row>
    <row r="970">
      <c r="A970" s="60" t="s">
        <v>432</v>
      </c>
      <c r="B970" s="60" t="s">
        <v>452</v>
      </c>
      <c r="C970" s="57"/>
      <c r="D970" s="57"/>
      <c r="E970" s="57"/>
      <c r="F970" s="57"/>
      <c r="G970" s="57"/>
      <c r="H970" s="57"/>
      <c r="I970" s="57"/>
      <c r="J970" s="57"/>
      <c r="K970" s="63"/>
      <c r="L970" s="57"/>
      <c r="M970" s="57"/>
      <c r="N970" s="57"/>
      <c r="O970" s="57"/>
      <c r="P970" s="57"/>
      <c r="Q970" s="57"/>
    </row>
    <row r="971">
      <c r="A971" s="60" t="s">
        <v>53</v>
      </c>
      <c r="B971" s="60" t="s">
        <v>499</v>
      </c>
      <c r="C971" s="57"/>
      <c r="D971" s="57"/>
      <c r="E971" s="57"/>
      <c r="F971" s="57"/>
      <c r="G971" s="57"/>
      <c r="H971" s="57"/>
      <c r="I971" s="57"/>
      <c r="J971" s="57"/>
      <c r="K971" s="63"/>
      <c r="L971" s="57"/>
      <c r="M971" s="57"/>
      <c r="N971" s="57"/>
      <c r="O971" s="57"/>
      <c r="P971" s="57"/>
      <c r="Q971" s="57"/>
    </row>
    <row r="972">
      <c r="A972" s="60" t="s">
        <v>50</v>
      </c>
      <c r="B972" s="60" t="s">
        <v>425</v>
      </c>
      <c r="C972" s="57"/>
      <c r="D972" s="57"/>
      <c r="E972" s="57"/>
      <c r="F972" s="57"/>
      <c r="G972" s="57"/>
      <c r="H972" s="57"/>
      <c r="I972" s="57"/>
      <c r="J972" s="57"/>
      <c r="K972" s="63"/>
      <c r="L972" s="57"/>
      <c r="M972" s="57"/>
      <c r="N972" s="57"/>
      <c r="O972" s="57"/>
      <c r="P972" s="57"/>
      <c r="Q972" s="57"/>
    </row>
    <row r="973">
      <c r="A973" s="60" t="s">
        <v>438</v>
      </c>
      <c r="B973" s="60" t="s">
        <v>436</v>
      </c>
      <c r="C973" s="57"/>
      <c r="D973" s="57"/>
      <c r="E973" s="57"/>
      <c r="F973" s="57"/>
      <c r="G973" s="57"/>
      <c r="H973" s="57"/>
      <c r="I973" s="57"/>
      <c r="J973" s="57"/>
      <c r="K973" s="63"/>
      <c r="L973" s="57"/>
      <c r="M973" s="57"/>
      <c r="N973" s="57"/>
      <c r="O973" s="57"/>
      <c r="P973" s="57"/>
      <c r="Q973" s="57"/>
    </row>
    <row r="974">
      <c r="A974" s="60" t="s">
        <v>439</v>
      </c>
      <c r="B974" s="60" t="s">
        <v>440</v>
      </c>
      <c r="C974" s="57"/>
      <c r="D974" s="57"/>
      <c r="E974" s="57"/>
      <c r="F974" s="57"/>
      <c r="G974" s="57"/>
      <c r="H974" s="57"/>
      <c r="I974" s="57"/>
      <c r="J974" s="57"/>
      <c r="K974" s="63"/>
      <c r="L974" s="57"/>
      <c r="M974" s="57"/>
      <c r="N974" s="57"/>
      <c r="O974" s="57"/>
      <c r="P974" s="57"/>
      <c r="Q974" s="57"/>
    </row>
    <row r="975">
      <c r="A975" s="60" t="s">
        <v>441</v>
      </c>
      <c r="B975" s="60">
        <v>5.0</v>
      </c>
      <c r="C975" s="57"/>
      <c r="D975" s="57"/>
      <c r="E975" s="57"/>
      <c r="F975" s="57"/>
      <c r="G975" s="57"/>
      <c r="H975" s="57"/>
      <c r="I975" s="57"/>
      <c r="J975" s="57"/>
      <c r="K975" s="63"/>
      <c r="L975" s="57"/>
      <c r="M975" s="57"/>
      <c r="N975" s="57"/>
      <c r="O975" s="57"/>
      <c r="P975" s="57"/>
      <c r="Q975" s="57"/>
    </row>
    <row r="976">
      <c r="A976" s="60" t="s">
        <v>442</v>
      </c>
      <c r="B976" s="60" t="s">
        <v>424</v>
      </c>
      <c r="C976" s="57"/>
      <c r="D976" s="57"/>
      <c r="E976" s="57"/>
      <c r="F976" s="57"/>
      <c r="G976" s="57"/>
      <c r="H976" s="57"/>
      <c r="I976" s="57"/>
      <c r="J976" s="57"/>
      <c r="K976" s="63"/>
      <c r="L976" s="57"/>
      <c r="M976" s="57"/>
      <c r="N976" s="57"/>
      <c r="O976" s="57"/>
      <c r="P976" s="57"/>
      <c r="Q976" s="57"/>
    </row>
    <row r="977">
      <c r="A977" s="60" t="s">
        <v>444</v>
      </c>
      <c r="B977" s="60" t="s">
        <v>445</v>
      </c>
      <c r="C977" s="57"/>
      <c r="D977" s="57"/>
      <c r="E977" s="57"/>
      <c r="F977" s="57"/>
      <c r="G977" s="57"/>
      <c r="H977" s="57"/>
      <c r="I977" s="57"/>
      <c r="J977" s="57"/>
      <c r="K977" s="63"/>
      <c r="L977" s="57"/>
      <c r="M977" s="57"/>
      <c r="N977" s="57"/>
      <c r="O977" s="57"/>
      <c r="P977" s="57"/>
      <c r="Q977" s="57"/>
    </row>
    <row r="978">
      <c r="A978" s="60" t="s">
        <v>446</v>
      </c>
      <c r="B978" s="60" t="s">
        <v>445</v>
      </c>
      <c r="C978" s="57"/>
      <c r="D978" s="57"/>
      <c r="E978" s="57"/>
      <c r="F978" s="57"/>
      <c r="G978" s="57"/>
      <c r="H978" s="57"/>
      <c r="I978" s="57"/>
      <c r="J978" s="57"/>
      <c r="K978" s="63"/>
      <c r="L978" s="57"/>
      <c r="M978" s="57"/>
      <c r="N978" s="57"/>
      <c r="O978" s="57"/>
      <c r="P978" s="57"/>
      <c r="Q978" s="57"/>
    </row>
    <row r="979">
      <c r="A979" s="60" t="s">
        <v>601</v>
      </c>
      <c r="B979" s="60" t="s">
        <v>602</v>
      </c>
      <c r="C979" s="57"/>
      <c r="D979" s="57"/>
      <c r="E979" s="57"/>
      <c r="F979" s="57"/>
      <c r="G979" s="57"/>
      <c r="H979" s="57"/>
      <c r="I979" s="57"/>
      <c r="J979" s="57"/>
      <c r="K979" s="63"/>
      <c r="L979" s="57"/>
      <c r="M979" s="57"/>
      <c r="N979" s="57"/>
      <c r="O979" s="57"/>
      <c r="P979" s="57"/>
      <c r="Q979" s="57"/>
    </row>
    <row r="980">
      <c r="A980" s="60" t="s">
        <v>603</v>
      </c>
      <c r="B980" s="60" t="s">
        <v>602</v>
      </c>
      <c r="C980" s="57"/>
      <c r="D980" s="57"/>
      <c r="E980" s="57"/>
      <c r="F980" s="57"/>
      <c r="G980" s="57"/>
      <c r="H980" s="57"/>
      <c r="I980" s="57"/>
      <c r="J980" s="57"/>
      <c r="K980" s="63"/>
      <c r="L980" s="57"/>
      <c r="M980" s="57"/>
      <c r="N980" s="57"/>
      <c r="O980" s="57"/>
      <c r="P980" s="57"/>
      <c r="Q980" s="57"/>
    </row>
    <row r="981">
      <c r="A981" s="60" t="s">
        <v>682</v>
      </c>
      <c r="B981" s="60" t="s">
        <v>452</v>
      </c>
      <c r="C981" s="65"/>
      <c r="D981" s="57"/>
      <c r="E981" s="57"/>
      <c r="F981" s="57"/>
      <c r="G981" s="57"/>
      <c r="H981" s="57"/>
      <c r="I981" s="57"/>
      <c r="J981" s="57"/>
      <c r="K981" s="63"/>
      <c r="L981" s="57"/>
      <c r="M981" s="57"/>
      <c r="N981" s="57"/>
      <c r="O981" s="57"/>
      <c r="P981" s="57"/>
      <c r="Q981" s="57"/>
    </row>
    <row r="982">
      <c r="A982" s="67" t="s">
        <v>207</v>
      </c>
      <c r="B982" s="60" t="s">
        <v>550</v>
      </c>
      <c r="C982" s="57"/>
      <c r="D982" s="57"/>
      <c r="E982" s="57"/>
      <c r="F982" s="57"/>
      <c r="G982" s="57"/>
      <c r="H982" s="57"/>
      <c r="I982" s="57"/>
      <c r="J982" s="57"/>
      <c r="K982" s="63"/>
      <c r="L982" s="57"/>
      <c r="M982" s="57"/>
      <c r="N982" s="57"/>
      <c r="O982" s="57"/>
      <c r="P982" s="57"/>
      <c r="Q982" s="57"/>
    </row>
    <row r="983">
      <c r="A983" s="60" t="s">
        <v>38</v>
      </c>
      <c r="B983" s="60"/>
      <c r="C983" s="65">
        <v>208.0</v>
      </c>
      <c r="D983" s="57">
        <f t="shared" ref="D983:D985" si="428">ROUNDDOWN(C983*1.1,0)</f>
        <v>228</v>
      </c>
      <c r="E983" s="57">
        <f t="shared" ref="E983:E985" si="429">ROUNDDOWN(C983*1.21,0)</f>
        <v>251</v>
      </c>
      <c r="F983" s="57">
        <f t="shared" ref="F983:F985" si="430">ROUNDDOWN(C983*1.33,0)</f>
        <v>276</v>
      </c>
      <c r="G983" s="57">
        <f t="shared" ref="G983:G985" si="431">ROUNDDOWN(C983*1.46,0)</f>
        <v>303</v>
      </c>
      <c r="H983" s="57">
        <f t="shared" ref="H983:H985" si="432">ROUNDDOWN(C983*1.6,0)</f>
        <v>332</v>
      </c>
      <c r="I983" s="57">
        <f t="shared" ref="I983:I985" si="433">ROUNDDOWN(C983*1.76,0)</f>
        <v>366</v>
      </c>
      <c r="J983" s="57">
        <f t="shared" ref="J983:J985" si="434">ROUNDDOWN(C983*1.93,0)</f>
        <v>401</v>
      </c>
      <c r="K983" s="63">
        <f t="shared" ref="K983:K985" si="435">ROUNDDOWN(C983*2.12,0)</f>
        <v>440</v>
      </c>
      <c r="L983" s="57">
        <f t="shared" ref="L983:L985" si="436">ROUNDDOWN(C983*2.33,0)</f>
        <v>484</v>
      </c>
      <c r="M983" s="57">
        <f t="shared" ref="M983:M985" si="437">ROUNDDOWN(C983*2.56,0)</f>
        <v>532</v>
      </c>
      <c r="N983" s="57">
        <f t="shared" ref="N983:N985" si="438">ROUNDDOWN(C983*2.81,0)</f>
        <v>584</v>
      </c>
      <c r="O983" s="57">
        <f t="shared" ref="O983:O985" si="439">ROUNDDOWN(C983*3.09,0)</f>
        <v>642</v>
      </c>
      <c r="P983" s="57">
        <f t="shared" ref="P983:P985" si="440">ROUNDDOWN(C983*3.39,0)</f>
        <v>705</v>
      </c>
      <c r="Q983" s="57"/>
    </row>
    <row r="984">
      <c r="A984" s="60" t="s">
        <v>24</v>
      </c>
      <c r="B984" s="60"/>
      <c r="C984" s="65">
        <v>52.0</v>
      </c>
      <c r="D984" s="57">
        <f t="shared" si="428"/>
        <v>57</v>
      </c>
      <c r="E984" s="57">
        <f t="shared" si="429"/>
        <v>62</v>
      </c>
      <c r="F984" s="57">
        <f t="shared" si="430"/>
        <v>69</v>
      </c>
      <c r="G984" s="57">
        <f t="shared" si="431"/>
        <v>75</v>
      </c>
      <c r="H984" s="57">
        <f t="shared" si="432"/>
        <v>83</v>
      </c>
      <c r="I984" s="57">
        <f t="shared" si="433"/>
        <v>91</v>
      </c>
      <c r="J984" s="57">
        <f t="shared" si="434"/>
        <v>100</v>
      </c>
      <c r="K984" s="63">
        <f t="shared" si="435"/>
        <v>110</v>
      </c>
      <c r="L984" s="57">
        <f t="shared" si="436"/>
        <v>121</v>
      </c>
      <c r="M984" s="57">
        <f t="shared" si="437"/>
        <v>133</v>
      </c>
      <c r="N984" s="57">
        <f t="shared" si="438"/>
        <v>146</v>
      </c>
      <c r="O984" s="57">
        <f t="shared" si="439"/>
        <v>160</v>
      </c>
      <c r="P984" s="57">
        <f t="shared" si="440"/>
        <v>176</v>
      </c>
      <c r="Q984" s="57"/>
    </row>
    <row r="985">
      <c r="A985" s="60" t="s">
        <v>39</v>
      </c>
      <c r="B985" s="60"/>
      <c r="C985" s="65">
        <v>94.0</v>
      </c>
      <c r="D985" s="57">
        <f t="shared" si="428"/>
        <v>103</v>
      </c>
      <c r="E985" s="57">
        <f t="shared" si="429"/>
        <v>113</v>
      </c>
      <c r="F985" s="57">
        <f t="shared" si="430"/>
        <v>125</v>
      </c>
      <c r="G985" s="57">
        <f t="shared" si="431"/>
        <v>137</v>
      </c>
      <c r="H985" s="57">
        <f t="shared" si="432"/>
        <v>150</v>
      </c>
      <c r="I985" s="57">
        <f t="shared" si="433"/>
        <v>165</v>
      </c>
      <c r="J985" s="57">
        <f t="shared" si="434"/>
        <v>181</v>
      </c>
      <c r="K985" s="63">
        <f t="shared" si="435"/>
        <v>199</v>
      </c>
      <c r="L985" s="57">
        <f t="shared" si="436"/>
        <v>219</v>
      </c>
      <c r="M985" s="57">
        <f t="shared" si="437"/>
        <v>240</v>
      </c>
      <c r="N985" s="57">
        <f t="shared" si="438"/>
        <v>264</v>
      </c>
      <c r="O985" s="57">
        <f t="shared" si="439"/>
        <v>290</v>
      </c>
      <c r="P985" s="57">
        <f t="shared" si="440"/>
        <v>318</v>
      </c>
      <c r="Q985" s="57"/>
    </row>
    <row r="986">
      <c r="A986" s="60" t="s">
        <v>428</v>
      </c>
      <c r="B986" s="60" t="s">
        <v>429</v>
      </c>
      <c r="C986" s="57"/>
      <c r="D986" s="57"/>
      <c r="E986" s="57"/>
      <c r="F986" s="57"/>
      <c r="G986" s="57"/>
      <c r="H986" s="57"/>
      <c r="I986" s="57"/>
      <c r="J986" s="57"/>
      <c r="K986" s="63"/>
      <c r="L986" s="57"/>
      <c r="M986" s="57"/>
      <c r="N986" s="57"/>
      <c r="O986" s="57"/>
      <c r="P986" s="57"/>
      <c r="Q986" s="57"/>
    </row>
    <row r="987">
      <c r="A987" s="60" t="s">
        <v>55</v>
      </c>
      <c r="B987" s="60" t="s">
        <v>430</v>
      </c>
      <c r="C987" s="57"/>
      <c r="D987" s="57"/>
      <c r="E987" s="57"/>
      <c r="F987" s="57"/>
      <c r="G987" s="57"/>
      <c r="H987" s="57"/>
      <c r="I987" s="57"/>
      <c r="J987" s="57"/>
      <c r="K987" s="63"/>
      <c r="L987" s="57"/>
      <c r="M987" s="57"/>
      <c r="N987" s="57"/>
      <c r="O987" s="57"/>
      <c r="P987" s="57"/>
      <c r="Q987" s="57"/>
    </row>
    <row r="988">
      <c r="A988" s="60" t="s">
        <v>51</v>
      </c>
      <c r="B988" s="60" t="s">
        <v>451</v>
      </c>
      <c r="C988" s="57"/>
      <c r="D988" s="57"/>
      <c r="E988" s="57"/>
      <c r="F988" s="57"/>
      <c r="G988" s="57"/>
      <c r="H988" s="57"/>
      <c r="I988" s="57"/>
      <c r="J988" s="57"/>
      <c r="K988" s="63"/>
      <c r="L988" s="57"/>
      <c r="M988" s="57"/>
      <c r="N988" s="57"/>
      <c r="O988" s="57"/>
      <c r="P988" s="57"/>
      <c r="Q988" s="57"/>
    </row>
    <row r="989">
      <c r="A989" s="60" t="s">
        <v>49</v>
      </c>
      <c r="B989" s="60" t="s">
        <v>609</v>
      </c>
      <c r="C989" s="57"/>
      <c r="D989" s="57"/>
      <c r="E989" s="57"/>
      <c r="F989" s="57"/>
      <c r="G989" s="57"/>
      <c r="H989" s="57"/>
      <c r="I989" s="57"/>
      <c r="J989" s="57"/>
      <c r="K989" s="63"/>
      <c r="L989" s="57"/>
      <c r="M989" s="57"/>
      <c r="N989" s="57"/>
      <c r="O989" s="57"/>
      <c r="P989" s="57"/>
      <c r="Q989" s="57"/>
    </row>
    <row r="990">
      <c r="A990" s="60" t="s">
        <v>432</v>
      </c>
      <c r="B990" s="60" t="s">
        <v>683</v>
      </c>
      <c r="C990" s="57"/>
      <c r="D990" s="57"/>
      <c r="E990" s="57"/>
      <c r="F990" s="57"/>
      <c r="G990" s="57"/>
      <c r="H990" s="57"/>
      <c r="I990" s="57"/>
      <c r="J990" s="57"/>
      <c r="K990" s="63"/>
      <c r="L990" s="57"/>
      <c r="M990" s="57"/>
      <c r="N990" s="57"/>
      <c r="O990" s="57"/>
      <c r="P990" s="57"/>
      <c r="Q990" s="57"/>
    </row>
    <row r="991">
      <c r="A991" s="60" t="s">
        <v>53</v>
      </c>
      <c r="B991" s="60" t="s">
        <v>437</v>
      </c>
      <c r="C991" s="57"/>
      <c r="D991" s="57"/>
      <c r="E991" s="57"/>
      <c r="F991" s="57"/>
      <c r="G991" s="57"/>
      <c r="H991" s="57"/>
      <c r="I991" s="57"/>
      <c r="J991" s="57"/>
      <c r="K991" s="63"/>
      <c r="L991" s="57"/>
      <c r="M991" s="57"/>
      <c r="N991" s="57"/>
      <c r="O991" s="57"/>
      <c r="P991" s="57"/>
      <c r="Q991" s="57"/>
    </row>
    <row r="992">
      <c r="A992" s="60" t="s">
        <v>50</v>
      </c>
      <c r="B992" s="60" t="s">
        <v>98</v>
      </c>
      <c r="C992" s="57"/>
      <c r="D992" s="57"/>
      <c r="E992" s="57"/>
      <c r="F992" s="57"/>
      <c r="G992" s="57"/>
      <c r="H992" s="57"/>
      <c r="I992" s="57"/>
      <c r="J992" s="57"/>
      <c r="K992" s="63"/>
      <c r="L992" s="57"/>
      <c r="M992" s="57"/>
      <c r="N992" s="57"/>
      <c r="O992" s="57"/>
      <c r="P992" s="57"/>
      <c r="Q992" s="57"/>
    </row>
    <row r="993">
      <c r="A993" s="60" t="s">
        <v>438</v>
      </c>
      <c r="B993" s="60" t="s">
        <v>436</v>
      </c>
      <c r="C993" s="57"/>
      <c r="D993" s="57"/>
      <c r="E993" s="57"/>
      <c r="F993" s="57"/>
      <c r="G993" s="57"/>
      <c r="H993" s="57"/>
      <c r="I993" s="57"/>
      <c r="J993" s="57"/>
      <c r="K993" s="63"/>
      <c r="L993" s="57"/>
      <c r="M993" s="57"/>
      <c r="N993" s="57"/>
      <c r="O993" s="57"/>
      <c r="P993" s="57"/>
      <c r="Q993" s="57"/>
    </row>
    <row r="994">
      <c r="A994" s="60" t="s">
        <v>439</v>
      </c>
      <c r="B994" s="60" t="s">
        <v>440</v>
      </c>
      <c r="C994" s="57"/>
      <c r="D994" s="57"/>
      <c r="E994" s="57"/>
      <c r="F994" s="57"/>
      <c r="G994" s="57"/>
      <c r="H994" s="57"/>
      <c r="I994" s="57"/>
      <c r="J994" s="57"/>
      <c r="K994" s="63"/>
      <c r="L994" s="57"/>
      <c r="M994" s="57"/>
      <c r="N994" s="57"/>
      <c r="O994" s="57"/>
      <c r="P994" s="57"/>
      <c r="Q994" s="57"/>
    </row>
    <row r="995">
      <c r="A995" s="60" t="s">
        <v>441</v>
      </c>
      <c r="B995" s="60">
        <v>5.0</v>
      </c>
      <c r="C995" s="57"/>
      <c r="D995" s="57"/>
      <c r="E995" s="57"/>
      <c r="F995" s="57"/>
      <c r="G995" s="57"/>
      <c r="H995" s="57"/>
      <c r="I995" s="57"/>
      <c r="J995" s="57"/>
      <c r="K995" s="63"/>
      <c r="L995" s="57"/>
      <c r="M995" s="57"/>
      <c r="N995" s="57"/>
      <c r="O995" s="57"/>
      <c r="P995" s="57"/>
      <c r="Q995" s="57"/>
    </row>
    <row r="996">
      <c r="A996" s="60" t="s">
        <v>467</v>
      </c>
      <c r="B996" s="60" t="s">
        <v>464</v>
      </c>
      <c r="C996" s="57"/>
      <c r="D996" s="57"/>
      <c r="E996" s="57"/>
      <c r="F996" s="57"/>
      <c r="G996" s="57"/>
      <c r="H996" s="57"/>
      <c r="I996" s="57"/>
      <c r="J996" s="57"/>
      <c r="K996" s="63"/>
      <c r="L996" s="57"/>
      <c r="M996" s="57"/>
      <c r="N996" s="57"/>
      <c r="O996" s="57"/>
      <c r="P996" s="57"/>
      <c r="Q996" s="57"/>
    </row>
    <row r="997">
      <c r="A997" s="60" t="s">
        <v>444</v>
      </c>
      <c r="B997" s="60" t="s">
        <v>491</v>
      </c>
      <c r="C997" s="57"/>
      <c r="D997" s="57"/>
      <c r="E997" s="57"/>
      <c r="F997" s="57"/>
      <c r="G997" s="57"/>
      <c r="H997" s="57"/>
      <c r="I997" s="57"/>
      <c r="J997" s="57"/>
      <c r="K997" s="63"/>
      <c r="L997" s="57"/>
      <c r="M997" s="57"/>
      <c r="N997" s="57"/>
      <c r="O997" s="57"/>
      <c r="P997" s="57"/>
      <c r="Q997" s="57"/>
    </row>
    <row r="998">
      <c r="A998" s="60" t="s">
        <v>446</v>
      </c>
      <c r="B998" s="60" t="s">
        <v>491</v>
      </c>
      <c r="C998" s="57"/>
      <c r="D998" s="57"/>
      <c r="E998" s="57"/>
      <c r="F998" s="57"/>
      <c r="G998" s="57"/>
      <c r="H998" s="57"/>
      <c r="I998" s="57"/>
      <c r="J998" s="57"/>
      <c r="K998" s="63"/>
      <c r="L998" s="57"/>
      <c r="M998" s="57"/>
      <c r="N998" s="57"/>
      <c r="O998" s="57"/>
      <c r="P998" s="57"/>
      <c r="Q998" s="57"/>
    </row>
    <row r="999">
      <c r="A999" s="60" t="s">
        <v>447</v>
      </c>
      <c r="B999" s="60" t="s">
        <v>448</v>
      </c>
      <c r="C999" s="57"/>
      <c r="D999" s="57"/>
      <c r="E999" s="57"/>
      <c r="F999" s="57"/>
      <c r="G999" s="57"/>
      <c r="H999" s="57"/>
      <c r="I999" s="57"/>
      <c r="J999" s="57"/>
      <c r="K999" s="63"/>
      <c r="L999" s="57"/>
      <c r="M999" s="57"/>
      <c r="N999" s="57"/>
      <c r="O999" s="57"/>
      <c r="P999" s="57"/>
      <c r="Q999" s="57"/>
    </row>
    <row r="1000">
      <c r="A1000" s="60" t="s">
        <v>57</v>
      </c>
      <c r="B1000" s="60">
        <v>6.0</v>
      </c>
      <c r="C1000" s="57"/>
      <c r="D1000" s="57"/>
      <c r="E1000" s="57"/>
      <c r="F1000" s="57"/>
      <c r="G1000" s="57"/>
      <c r="H1000" s="57"/>
      <c r="I1000" s="57"/>
      <c r="J1000" s="57"/>
      <c r="K1000" s="63"/>
      <c r="L1000" s="57"/>
      <c r="M1000" s="57"/>
      <c r="N1000" s="57"/>
      <c r="O1000" s="57"/>
      <c r="P1000" s="57"/>
      <c r="Q1000" s="57"/>
    </row>
    <row r="1001">
      <c r="A1001" s="60" t="s">
        <v>489</v>
      </c>
      <c r="B1001" s="60" t="s">
        <v>440</v>
      </c>
      <c r="C1001" s="57"/>
      <c r="D1001" s="57"/>
      <c r="E1001" s="57"/>
      <c r="F1001" s="57"/>
      <c r="G1001" s="57"/>
      <c r="H1001" s="57"/>
      <c r="I1001" s="57"/>
      <c r="J1001" s="57"/>
      <c r="K1001" s="63"/>
      <c r="L1001" s="57"/>
      <c r="M1001" s="57"/>
      <c r="N1001" s="57"/>
      <c r="O1001" s="57"/>
      <c r="P1001" s="57"/>
      <c r="Q1001" s="57"/>
    </row>
    <row r="1002">
      <c r="A1002" s="60" t="s">
        <v>684</v>
      </c>
      <c r="B1002" s="60" t="s">
        <v>685</v>
      </c>
      <c r="C1002" s="57"/>
      <c r="D1002" s="57"/>
      <c r="E1002" s="57"/>
      <c r="F1002" s="57"/>
      <c r="G1002" s="57"/>
      <c r="H1002" s="57"/>
      <c r="I1002" s="57"/>
      <c r="J1002" s="57"/>
      <c r="K1002" s="63"/>
      <c r="L1002" s="57"/>
      <c r="M1002" s="57"/>
      <c r="N1002" s="57"/>
      <c r="O1002" s="57"/>
      <c r="P1002" s="57"/>
      <c r="Q1002" s="57"/>
    </row>
    <row r="1003">
      <c r="A1003" s="60" t="s">
        <v>449</v>
      </c>
      <c r="B1003" s="60" t="s">
        <v>450</v>
      </c>
      <c r="C1003" s="57"/>
      <c r="D1003" s="57"/>
      <c r="E1003" s="57"/>
      <c r="F1003" s="57"/>
      <c r="G1003" s="57"/>
      <c r="H1003" s="57"/>
      <c r="I1003" s="57"/>
      <c r="J1003" s="57"/>
      <c r="K1003" s="63"/>
      <c r="L1003" s="57"/>
      <c r="M1003" s="57"/>
      <c r="N1003" s="57"/>
      <c r="O1003" s="57"/>
      <c r="P1003" s="57"/>
      <c r="Q1003" s="57"/>
    </row>
    <row r="1004">
      <c r="A1004" s="67" t="s">
        <v>209</v>
      </c>
      <c r="B1004" s="60" t="s">
        <v>539</v>
      </c>
      <c r="C1004" s="57"/>
      <c r="D1004" s="57"/>
      <c r="E1004" s="57"/>
      <c r="F1004" s="57"/>
      <c r="G1004" s="57"/>
      <c r="H1004" s="57"/>
      <c r="I1004" s="57"/>
      <c r="J1004" s="57"/>
      <c r="K1004" s="63"/>
      <c r="L1004" s="57"/>
      <c r="M1004" s="57"/>
      <c r="N1004" s="57"/>
      <c r="O1004" s="57"/>
      <c r="P1004" s="57"/>
      <c r="Q1004" s="57"/>
    </row>
    <row r="1005">
      <c r="A1005" s="60" t="s">
        <v>38</v>
      </c>
      <c r="B1005" s="26"/>
      <c r="C1005" s="65">
        <v>1200.0</v>
      </c>
      <c r="D1005" s="57">
        <f t="shared" ref="D1005:D1006" si="441">ROUNDDOWN(C1005*1.1,0)</f>
        <v>1320</v>
      </c>
      <c r="E1005" s="57">
        <f t="shared" ref="E1005:E1006" si="442">ROUNDDOWN(C1005*1.21,0)</f>
        <v>1452</v>
      </c>
      <c r="F1005" s="57">
        <f t="shared" ref="F1005:F1006" si="443">ROUNDDOWN(C1005*1.33,0)</f>
        <v>1596</v>
      </c>
      <c r="G1005" s="57">
        <f t="shared" ref="G1005:G1006" si="444">ROUNDDOWN(C1005*1.46,0)</f>
        <v>1752</v>
      </c>
      <c r="H1005" s="57">
        <f t="shared" ref="H1005:H1006" si="445">ROUNDDOWN(C1005*1.6,0)</f>
        <v>1920</v>
      </c>
      <c r="I1005" s="57">
        <f t="shared" ref="I1005:I1006" si="446">ROUNDDOWN(C1005*1.76,0)</f>
        <v>2112</v>
      </c>
      <c r="J1005" s="57">
        <f t="shared" ref="J1005:J1006" si="447">ROUNDDOWN(C1005*1.93,0)</f>
        <v>2316</v>
      </c>
      <c r="K1005" s="63">
        <f t="shared" ref="K1005:K1006" si="448">ROUNDDOWN(C1005*2.12,0)</f>
        <v>2544</v>
      </c>
      <c r="L1005" s="57">
        <f t="shared" ref="L1005:L1006" si="449">ROUNDDOWN(C1005*2.33,0)</f>
        <v>2796</v>
      </c>
      <c r="M1005" s="57">
        <f t="shared" ref="M1005:M1006" si="450">ROUNDDOWN(C1005*2.56,0)</f>
        <v>3072</v>
      </c>
      <c r="N1005" s="57">
        <f t="shared" ref="N1005:N1006" si="451">ROUNDDOWN(C1005*2.81,0)</f>
        <v>3372</v>
      </c>
      <c r="O1005" s="57">
        <f t="shared" ref="O1005:O1006" si="452">ROUNDDOWN(C1005*3.09,0)</f>
        <v>3708</v>
      </c>
      <c r="P1005" s="57">
        <f t="shared" ref="P1005:P1006" si="453">ROUNDDOWN(C1005*3.39,0)</f>
        <v>4068</v>
      </c>
      <c r="Q1005" s="57"/>
    </row>
    <row r="1006">
      <c r="A1006" s="60" t="s">
        <v>24</v>
      </c>
      <c r="B1006" s="26"/>
      <c r="C1006" s="65">
        <v>120.0</v>
      </c>
      <c r="D1006" s="57">
        <f t="shared" si="441"/>
        <v>132</v>
      </c>
      <c r="E1006" s="57">
        <f t="shared" si="442"/>
        <v>145</v>
      </c>
      <c r="F1006" s="57">
        <f t="shared" si="443"/>
        <v>159</v>
      </c>
      <c r="G1006" s="57">
        <f t="shared" si="444"/>
        <v>175</v>
      </c>
      <c r="H1006" s="57">
        <f t="shared" si="445"/>
        <v>192</v>
      </c>
      <c r="I1006" s="57">
        <f t="shared" si="446"/>
        <v>211</v>
      </c>
      <c r="J1006" s="57">
        <f t="shared" si="447"/>
        <v>231</v>
      </c>
      <c r="K1006" s="63">
        <f t="shared" si="448"/>
        <v>254</v>
      </c>
      <c r="L1006" s="57">
        <f t="shared" si="449"/>
        <v>279</v>
      </c>
      <c r="M1006" s="57">
        <f t="shared" si="450"/>
        <v>307</v>
      </c>
      <c r="N1006" s="57">
        <f t="shared" si="451"/>
        <v>337</v>
      </c>
      <c r="O1006" s="57">
        <f t="shared" si="452"/>
        <v>370</v>
      </c>
      <c r="P1006" s="57">
        <f t="shared" si="453"/>
        <v>406</v>
      </c>
      <c r="Q1006" s="57"/>
    </row>
    <row r="1007">
      <c r="A1007" s="60" t="s">
        <v>428</v>
      </c>
      <c r="B1007" s="60" t="s">
        <v>469</v>
      </c>
      <c r="C1007" s="57"/>
      <c r="D1007" s="57"/>
      <c r="E1007" s="57"/>
      <c r="F1007" s="57"/>
      <c r="G1007" s="57"/>
      <c r="H1007" s="57"/>
      <c r="I1007" s="57"/>
      <c r="J1007" s="57"/>
      <c r="K1007" s="63"/>
      <c r="L1007" s="57"/>
      <c r="M1007" s="57"/>
      <c r="N1007" s="57"/>
      <c r="O1007" s="57"/>
      <c r="P1007" s="57"/>
      <c r="Q1007" s="57"/>
    </row>
    <row r="1008">
      <c r="A1008" s="60" t="s">
        <v>55</v>
      </c>
      <c r="B1008" s="60" t="s">
        <v>430</v>
      </c>
      <c r="C1008" s="57"/>
      <c r="D1008" s="57"/>
      <c r="E1008" s="57"/>
      <c r="F1008" s="57"/>
      <c r="G1008" s="57"/>
      <c r="H1008" s="57"/>
      <c r="I1008" s="57"/>
      <c r="J1008" s="57"/>
      <c r="K1008" s="63"/>
      <c r="L1008" s="57"/>
      <c r="M1008" s="57"/>
      <c r="N1008" s="57"/>
      <c r="O1008" s="57"/>
      <c r="P1008" s="57"/>
      <c r="Q1008" s="57"/>
    </row>
    <row r="1009">
      <c r="A1009" s="60" t="s">
        <v>51</v>
      </c>
      <c r="B1009" s="60" t="s">
        <v>470</v>
      </c>
      <c r="C1009" s="57"/>
      <c r="D1009" s="57"/>
      <c r="E1009" s="57"/>
      <c r="F1009" s="57"/>
      <c r="G1009" s="57"/>
      <c r="H1009" s="57"/>
      <c r="I1009" s="57"/>
      <c r="J1009" s="57"/>
      <c r="K1009" s="63"/>
      <c r="L1009" s="57"/>
      <c r="M1009" s="57"/>
      <c r="N1009" s="57"/>
      <c r="O1009" s="57"/>
      <c r="P1009" s="57"/>
      <c r="Q1009" s="57"/>
    </row>
    <row r="1010">
      <c r="A1010" s="60" t="s">
        <v>49</v>
      </c>
      <c r="B1010" s="60" t="s">
        <v>463</v>
      </c>
      <c r="C1010" s="57"/>
      <c r="D1010" s="57"/>
      <c r="E1010" s="57"/>
      <c r="F1010" s="57"/>
      <c r="G1010" s="57"/>
      <c r="H1010" s="57"/>
      <c r="I1010" s="57"/>
      <c r="J1010" s="57"/>
      <c r="K1010" s="63"/>
      <c r="L1010" s="57"/>
      <c r="M1010" s="57"/>
      <c r="N1010" s="57"/>
      <c r="O1010" s="57"/>
      <c r="P1010" s="57"/>
      <c r="Q1010" s="57"/>
    </row>
    <row r="1011">
      <c r="A1011" s="60" t="s">
        <v>432</v>
      </c>
      <c r="B1011" s="60" t="s">
        <v>430</v>
      </c>
      <c r="C1011" s="57"/>
      <c r="D1011" s="57"/>
      <c r="E1011" s="57"/>
      <c r="F1011" s="57"/>
      <c r="G1011" s="57"/>
      <c r="H1011" s="57"/>
      <c r="I1011" s="57"/>
      <c r="J1011" s="57"/>
      <c r="K1011" s="63"/>
      <c r="L1011" s="57"/>
      <c r="M1011" s="57"/>
      <c r="N1011" s="57"/>
      <c r="O1011" s="57"/>
      <c r="P1011" s="57"/>
      <c r="Q1011" s="57"/>
    </row>
    <row r="1012">
      <c r="A1012" s="60" t="s">
        <v>422</v>
      </c>
      <c r="B1012" s="60" t="s">
        <v>434</v>
      </c>
      <c r="C1012" s="57"/>
      <c r="D1012" s="57"/>
      <c r="E1012" s="57"/>
      <c r="F1012" s="57"/>
      <c r="G1012" s="57"/>
      <c r="H1012" s="57"/>
      <c r="I1012" s="57"/>
      <c r="J1012" s="57"/>
      <c r="K1012" s="63"/>
      <c r="L1012" s="57"/>
      <c r="M1012" s="57"/>
      <c r="N1012" s="57"/>
      <c r="O1012" s="57"/>
      <c r="P1012" s="57"/>
      <c r="Q1012" s="57"/>
    </row>
    <row r="1013">
      <c r="A1013" s="60" t="s">
        <v>435</v>
      </c>
      <c r="B1013" s="60" t="s">
        <v>436</v>
      </c>
      <c r="C1013" s="57"/>
      <c r="D1013" s="57"/>
      <c r="E1013" s="57"/>
      <c r="F1013" s="57"/>
      <c r="G1013" s="57"/>
      <c r="H1013" s="57"/>
      <c r="I1013" s="57"/>
      <c r="J1013" s="57"/>
      <c r="K1013" s="63"/>
      <c r="L1013" s="57"/>
      <c r="M1013" s="57"/>
      <c r="N1013" s="57"/>
      <c r="O1013" s="57"/>
      <c r="P1013" s="57"/>
      <c r="Q1013" s="57"/>
    </row>
    <row r="1014">
      <c r="A1014" s="60" t="s">
        <v>53</v>
      </c>
      <c r="B1014" s="60" t="s">
        <v>456</v>
      </c>
      <c r="C1014" s="57"/>
      <c r="D1014" s="57"/>
      <c r="E1014" s="57"/>
      <c r="F1014" s="57"/>
      <c r="G1014" s="57"/>
      <c r="H1014" s="57"/>
      <c r="I1014" s="57"/>
      <c r="J1014" s="57"/>
      <c r="K1014" s="63"/>
      <c r="L1014" s="57"/>
      <c r="M1014" s="57"/>
      <c r="N1014" s="57"/>
      <c r="O1014" s="57"/>
      <c r="P1014" s="57"/>
      <c r="Q1014" s="57"/>
    </row>
    <row r="1015">
      <c r="A1015" s="60" t="s">
        <v>50</v>
      </c>
      <c r="B1015" s="60" t="s">
        <v>109</v>
      </c>
      <c r="C1015" s="57"/>
      <c r="D1015" s="57"/>
      <c r="E1015" s="57"/>
      <c r="F1015" s="57"/>
      <c r="G1015" s="57"/>
      <c r="H1015" s="57"/>
      <c r="I1015" s="57"/>
      <c r="J1015" s="57"/>
      <c r="K1015" s="63"/>
      <c r="L1015" s="57"/>
      <c r="M1015" s="57"/>
      <c r="N1015" s="57"/>
      <c r="O1015" s="57"/>
      <c r="P1015" s="57"/>
      <c r="Q1015" s="57"/>
    </row>
    <row r="1016">
      <c r="A1016" s="60" t="s">
        <v>438</v>
      </c>
      <c r="B1016" s="60" t="s">
        <v>472</v>
      </c>
      <c r="C1016" s="57"/>
      <c r="D1016" s="57"/>
      <c r="E1016" s="57"/>
      <c r="F1016" s="57"/>
      <c r="G1016" s="57"/>
      <c r="H1016" s="57"/>
      <c r="I1016" s="57"/>
      <c r="J1016" s="57"/>
      <c r="K1016" s="63"/>
      <c r="L1016" s="57"/>
      <c r="M1016" s="57"/>
      <c r="N1016" s="57"/>
      <c r="O1016" s="57"/>
      <c r="P1016" s="57"/>
      <c r="Q1016" s="57"/>
    </row>
    <row r="1017">
      <c r="A1017" s="60" t="s">
        <v>439</v>
      </c>
      <c r="B1017" s="60" t="s">
        <v>473</v>
      </c>
      <c r="C1017" s="57"/>
      <c r="D1017" s="57"/>
      <c r="E1017" s="57"/>
      <c r="F1017" s="57"/>
      <c r="G1017" s="57"/>
      <c r="H1017" s="57"/>
      <c r="I1017" s="57"/>
      <c r="J1017" s="57"/>
      <c r="K1017" s="63"/>
      <c r="L1017" s="57"/>
      <c r="M1017" s="57"/>
      <c r="N1017" s="57"/>
      <c r="O1017" s="57"/>
      <c r="P1017" s="57"/>
      <c r="Q1017" s="57"/>
    </row>
    <row r="1018">
      <c r="A1018" s="60" t="s">
        <v>441</v>
      </c>
      <c r="B1018" s="60">
        <v>18.0</v>
      </c>
      <c r="C1018" s="57"/>
      <c r="D1018" s="57"/>
      <c r="E1018" s="57"/>
      <c r="F1018" s="57"/>
      <c r="G1018" s="57"/>
      <c r="H1018" s="57"/>
      <c r="I1018" s="57"/>
      <c r="J1018" s="57"/>
      <c r="K1018" s="63"/>
      <c r="L1018" s="57"/>
      <c r="M1018" s="57"/>
      <c r="N1018" s="57"/>
      <c r="O1018" s="57"/>
      <c r="P1018" s="57"/>
      <c r="Q1018" s="57"/>
    </row>
    <row r="1019">
      <c r="A1019" s="60" t="s">
        <v>444</v>
      </c>
      <c r="B1019" s="60" t="s">
        <v>458</v>
      </c>
      <c r="C1019" s="57"/>
      <c r="D1019" s="57"/>
      <c r="E1019" s="57"/>
      <c r="F1019" s="57"/>
      <c r="G1019" s="57"/>
      <c r="H1019" s="57"/>
      <c r="I1019" s="57"/>
      <c r="J1019" s="57"/>
      <c r="K1019" s="63"/>
      <c r="L1019" s="57"/>
      <c r="M1019" s="57"/>
      <c r="N1019" s="57"/>
      <c r="O1019" s="57"/>
      <c r="P1019" s="57"/>
      <c r="Q1019" s="57"/>
    </row>
    <row r="1020">
      <c r="A1020" s="60" t="s">
        <v>446</v>
      </c>
      <c r="B1020" s="60" t="s">
        <v>686</v>
      </c>
      <c r="C1020" s="57"/>
      <c r="D1020" s="57"/>
      <c r="E1020" s="57"/>
      <c r="F1020" s="57"/>
      <c r="G1020" s="57"/>
      <c r="H1020" s="57"/>
      <c r="I1020" s="57"/>
      <c r="J1020" s="57"/>
      <c r="K1020" s="63"/>
      <c r="L1020" s="57"/>
      <c r="M1020" s="57"/>
      <c r="N1020" s="57"/>
      <c r="O1020" s="57"/>
      <c r="P1020" s="57"/>
      <c r="Q1020" s="57"/>
    </row>
    <row r="1021">
      <c r="A1021" s="60" t="s">
        <v>474</v>
      </c>
      <c r="B1021" s="60" t="s">
        <v>475</v>
      </c>
      <c r="C1021" s="57"/>
      <c r="D1021" s="57"/>
      <c r="E1021" s="57"/>
      <c r="F1021" s="57"/>
      <c r="G1021" s="57"/>
      <c r="H1021" s="57"/>
      <c r="I1021" s="57"/>
      <c r="J1021" s="57"/>
      <c r="K1021" s="63"/>
      <c r="L1021" s="57"/>
      <c r="M1021" s="57"/>
      <c r="N1021" s="57"/>
      <c r="O1021" s="57"/>
      <c r="P1021" s="57"/>
      <c r="Q1021" s="57"/>
    </row>
    <row r="1022">
      <c r="A1022" s="60" t="s">
        <v>476</v>
      </c>
      <c r="B1022" s="60" t="s">
        <v>450</v>
      </c>
      <c r="C1022" s="57"/>
      <c r="D1022" s="57"/>
      <c r="E1022" s="57"/>
      <c r="F1022" s="57"/>
      <c r="G1022" s="57"/>
      <c r="H1022" s="57"/>
      <c r="I1022" s="57"/>
      <c r="J1022" s="57"/>
      <c r="K1022" s="63"/>
      <c r="L1022" s="57"/>
      <c r="M1022" s="57"/>
      <c r="N1022" s="57"/>
      <c r="O1022" s="57"/>
      <c r="P1022" s="57"/>
      <c r="Q1022" s="57"/>
    </row>
    <row r="1023">
      <c r="A1023" s="60" t="s">
        <v>477</v>
      </c>
      <c r="B1023" s="60" t="s">
        <v>478</v>
      </c>
      <c r="C1023" s="57"/>
      <c r="D1023" s="57"/>
      <c r="E1023" s="57"/>
      <c r="F1023" s="57"/>
      <c r="G1023" s="57"/>
      <c r="H1023" s="57"/>
      <c r="I1023" s="57"/>
      <c r="J1023" s="57"/>
      <c r="K1023" s="63"/>
      <c r="L1023" s="57"/>
      <c r="M1023" s="57"/>
      <c r="N1023" s="57"/>
      <c r="O1023" s="57"/>
      <c r="P1023" s="57"/>
      <c r="Q1023" s="57"/>
    </row>
    <row r="1024">
      <c r="A1024" s="60" t="s">
        <v>479</v>
      </c>
      <c r="B1024" s="60" t="s">
        <v>478</v>
      </c>
      <c r="C1024" s="57"/>
      <c r="D1024" s="57"/>
      <c r="E1024" s="57"/>
      <c r="F1024" s="57"/>
      <c r="G1024" s="57"/>
      <c r="H1024" s="57"/>
      <c r="I1024" s="57"/>
      <c r="J1024" s="57"/>
      <c r="K1024" s="63"/>
      <c r="L1024" s="57"/>
      <c r="M1024" s="57"/>
      <c r="N1024" s="57"/>
      <c r="O1024" s="57"/>
      <c r="P1024" s="57"/>
      <c r="Q1024" s="57"/>
    </row>
    <row r="1025">
      <c r="A1025" s="68" t="s">
        <v>210</v>
      </c>
      <c r="B1025" s="60" t="s">
        <v>468</v>
      </c>
      <c r="C1025" s="57"/>
      <c r="D1025" s="57"/>
      <c r="E1025" s="57"/>
      <c r="F1025" s="57"/>
      <c r="G1025" s="57"/>
      <c r="H1025" s="57"/>
      <c r="I1025" s="57"/>
      <c r="J1025" s="57"/>
      <c r="K1025" s="63"/>
      <c r="L1025" s="57"/>
      <c r="M1025" s="57"/>
      <c r="N1025" s="57"/>
      <c r="O1025" s="57"/>
      <c r="P1025" s="57"/>
      <c r="Q1025" s="57"/>
    </row>
    <row r="1026">
      <c r="A1026" s="60" t="s">
        <v>38</v>
      </c>
      <c r="B1026" s="60"/>
      <c r="C1026" s="57"/>
      <c r="D1026" s="57"/>
      <c r="E1026" s="65">
        <v>395.0</v>
      </c>
      <c r="F1026" s="57">
        <f t="shared" ref="F1026:F1027" si="454">ROUNDDOWN(E1026*1.1,0)</f>
        <v>434</v>
      </c>
      <c r="G1026" s="57">
        <f t="shared" ref="G1026:G1027" si="455">ROUNDDOWN(E1026*1.21,0)</f>
        <v>477</v>
      </c>
      <c r="H1026" s="57">
        <f t="shared" ref="H1026:H1027" si="456">ROUNDDOWN(E1026*1.33,0)</f>
        <v>525</v>
      </c>
      <c r="I1026" s="57">
        <f t="shared" ref="I1026:I1027" si="457">ROUNDDOWN(E1026*1.46,0)</f>
        <v>576</v>
      </c>
      <c r="J1026" s="57">
        <f t="shared" ref="J1026:J1027" si="458">ROUNDDOWN(E1026*1.6,0)</f>
        <v>632</v>
      </c>
      <c r="K1026" s="63">
        <f t="shared" ref="K1026:K1027" si="459">ROUNDDOWN(E1026*1.76,0)</f>
        <v>695</v>
      </c>
      <c r="L1026" s="57">
        <f t="shared" ref="L1026:L1027" si="460">ROUNDDOWN(E1026*1.93,0)</f>
        <v>762</v>
      </c>
      <c r="M1026" s="57">
        <f t="shared" ref="M1026:M1027" si="461">ROUNDDOWN(E1026*2.12,0)</f>
        <v>837</v>
      </c>
      <c r="N1026" s="57">
        <f t="shared" ref="N1026:N1027" si="462">ROUNDDOWN(E1026*2.33,0)</f>
        <v>920</v>
      </c>
      <c r="O1026" s="57">
        <f t="shared" ref="O1026:O1027" si="463">ROUNDDOWN(E1026*2.56,0)</f>
        <v>1011</v>
      </c>
      <c r="P1026" s="57">
        <f t="shared" ref="P1026:P1027" si="464">ROUNDDOWN(E1026*2.81,0)</f>
        <v>1109</v>
      </c>
      <c r="Q1026" s="57"/>
    </row>
    <row r="1027">
      <c r="A1027" s="60" t="s">
        <v>24</v>
      </c>
      <c r="B1027" s="60"/>
      <c r="C1027" s="57"/>
      <c r="D1027" s="57"/>
      <c r="E1027" s="65">
        <v>34.0</v>
      </c>
      <c r="F1027" s="57">
        <f t="shared" si="454"/>
        <v>37</v>
      </c>
      <c r="G1027" s="57">
        <f t="shared" si="455"/>
        <v>41</v>
      </c>
      <c r="H1027" s="57">
        <f t="shared" si="456"/>
        <v>45</v>
      </c>
      <c r="I1027" s="57">
        <f t="shared" si="457"/>
        <v>49</v>
      </c>
      <c r="J1027" s="57">
        <f t="shared" si="458"/>
        <v>54</v>
      </c>
      <c r="K1027" s="63">
        <f t="shared" si="459"/>
        <v>59</v>
      </c>
      <c r="L1027" s="57">
        <f t="shared" si="460"/>
        <v>65</v>
      </c>
      <c r="M1027" s="57">
        <f t="shared" si="461"/>
        <v>72</v>
      </c>
      <c r="N1027" s="57">
        <f t="shared" si="462"/>
        <v>79</v>
      </c>
      <c r="O1027" s="57">
        <f t="shared" si="463"/>
        <v>87</v>
      </c>
      <c r="P1027" s="57">
        <f t="shared" si="464"/>
        <v>95</v>
      </c>
      <c r="Q1027" s="57"/>
    </row>
    <row r="1028">
      <c r="A1028" s="60" t="s">
        <v>428</v>
      </c>
      <c r="B1028" s="60" t="s">
        <v>512</v>
      </c>
      <c r="C1028" s="57"/>
      <c r="D1028" s="57"/>
      <c r="E1028" s="57"/>
      <c r="F1028" s="57"/>
      <c r="G1028" s="57"/>
      <c r="H1028" s="57"/>
      <c r="I1028" s="57"/>
      <c r="J1028" s="57"/>
      <c r="K1028" s="63"/>
      <c r="L1028" s="57"/>
      <c r="M1028" s="57"/>
      <c r="N1028" s="57"/>
      <c r="O1028" s="57"/>
      <c r="P1028" s="57"/>
      <c r="Q1028" s="57"/>
    </row>
    <row r="1029">
      <c r="A1029" s="60" t="s">
        <v>55</v>
      </c>
      <c r="B1029" s="60" t="s">
        <v>430</v>
      </c>
      <c r="C1029" s="57"/>
      <c r="D1029" s="57"/>
      <c r="E1029" s="57"/>
      <c r="F1029" s="57"/>
      <c r="G1029" s="57"/>
      <c r="H1029" s="57"/>
      <c r="I1029" s="57"/>
      <c r="J1029" s="57"/>
      <c r="K1029" s="63"/>
      <c r="L1029" s="57"/>
      <c r="M1029" s="57"/>
      <c r="N1029" s="57"/>
      <c r="O1029" s="57"/>
      <c r="P1029" s="57"/>
      <c r="Q1029" s="57"/>
    </row>
    <row r="1030">
      <c r="A1030" s="60" t="s">
        <v>51</v>
      </c>
      <c r="B1030" s="60" t="s">
        <v>482</v>
      </c>
      <c r="C1030" s="57"/>
      <c r="D1030" s="57"/>
      <c r="E1030" s="57"/>
      <c r="F1030" s="57"/>
      <c r="G1030" s="57"/>
      <c r="H1030" s="57"/>
      <c r="I1030" s="57"/>
      <c r="J1030" s="57"/>
      <c r="K1030" s="63"/>
      <c r="L1030" s="57"/>
      <c r="M1030" s="57"/>
      <c r="N1030" s="57"/>
      <c r="O1030" s="57"/>
      <c r="P1030" s="57"/>
      <c r="Q1030" s="57"/>
    </row>
    <row r="1031">
      <c r="A1031" s="60" t="s">
        <v>49</v>
      </c>
      <c r="B1031" s="60" t="s">
        <v>452</v>
      </c>
      <c r="C1031" s="57"/>
      <c r="D1031" s="57"/>
      <c r="E1031" s="57"/>
      <c r="F1031" s="57"/>
      <c r="G1031" s="57"/>
      <c r="H1031" s="57"/>
      <c r="I1031" s="57"/>
      <c r="J1031" s="57"/>
      <c r="K1031" s="63"/>
      <c r="L1031" s="57"/>
      <c r="M1031" s="57"/>
      <c r="N1031" s="57"/>
      <c r="O1031" s="57"/>
      <c r="P1031" s="57"/>
      <c r="Q1031" s="57"/>
    </row>
    <row r="1032">
      <c r="A1032" s="60" t="s">
        <v>432</v>
      </c>
      <c r="B1032" s="60" t="s">
        <v>687</v>
      </c>
      <c r="C1032" s="57"/>
      <c r="D1032" s="57"/>
      <c r="E1032" s="57"/>
      <c r="F1032" s="57"/>
      <c r="G1032" s="57"/>
      <c r="H1032" s="57"/>
      <c r="I1032" s="57"/>
      <c r="J1032" s="57"/>
      <c r="K1032" s="63"/>
      <c r="L1032" s="57"/>
      <c r="M1032" s="57"/>
      <c r="N1032" s="57"/>
      <c r="O1032" s="57"/>
      <c r="P1032" s="57"/>
      <c r="Q1032" s="57"/>
    </row>
    <row r="1033">
      <c r="A1033" s="60" t="s">
        <v>53</v>
      </c>
      <c r="B1033" s="60" t="s">
        <v>473</v>
      </c>
      <c r="C1033" s="57"/>
      <c r="D1033" s="57"/>
      <c r="E1033" s="57"/>
      <c r="F1033" s="57"/>
      <c r="G1033" s="57"/>
      <c r="H1033" s="57"/>
      <c r="I1033" s="57"/>
      <c r="J1033" s="57"/>
      <c r="K1033" s="63"/>
      <c r="L1033" s="57"/>
      <c r="M1033" s="57"/>
      <c r="N1033" s="57"/>
      <c r="O1033" s="57"/>
      <c r="P1033" s="57"/>
      <c r="Q1033" s="57"/>
    </row>
    <row r="1034">
      <c r="A1034" s="60" t="s">
        <v>50</v>
      </c>
      <c r="B1034" s="60" t="s">
        <v>109</v>
      </c>
      <c r="C1034" s="57"/>
      <c r="D1034" s="57"/>
      <c r="E1034" s="57"/>
      <c r="F1034" s="57"/>
      <c r="G1034" s="57"/>
      <c r="H1034" s="57"/>
      <c r="I1034" s="57"/>
      <c r="J1034" s="57"/>
      <c r="K1034" s="63"/>
      <c r="L1034" s="57"/>
      <c r="M1034" s="57"/>
      <c r="N1034" s="57"/>
      <c r="O1034" s="57"/>
      <c r="P1034" s="57"/>
      <c r="Q1034" s="57"/>
    </row>
    <row r="1035">
      <c r="A1035" s="60" t="s">
        <v>438</v>
      </c>
      <c r="B1035" s="60" t="s">
        <v>436</v>
      </c>
      <c r="C1035" s="57"/>
      <c r="D1035" s="57"/>
      <c r="E1035" s="57"/>
      <c r="F1035" s="57"/>
      <c r="G1035" s="57"/>
      <c r="H1035" s="57"/>
      <c r="I1035" s="57"/>
      <c r="J1035" s="57"/>
      <c r="K1035" s="63"/>
      <c r="L1035" s="57"/>
      <c r="M1035" s="57"/>
      <c r="N1035" s="57"/>
      <c r="O1035" s="57"/>
      <c r="P1035" s="57"/>
      <c r="Q1035" s="57"/>
    </row>
    <row r="1036">
      <c r="A1036" s="60" t="s">
        <v>439</v>
      </c>
      <c r="B1036" s="60" t="s">
        <v>502</v>
      </c>
      <c r="C1036" s="57"/>
      <c r="D1036" s="57"/>
      <c r="E1036" s="57"/>
      <c r="F1036" s="57"/>
      <c r="G1036" s="57"/>
      <c r="H1036" s="57"/>
      <c r="I1036" s="57"/>
      <c r="J1036" s="57"/>
      <c r="K1036" s="63"/>
      <c r="L1036" s="57"/>
      <c r="M1036" s="57"/>
      <c r="N1036" s="57"/>
      <c r="O1036" s="57"/>
      <c r="P1036" s="57"/>
      <c r="Q1036" s="57"/>
    </row>
    <row r="1037">
      <c r="A1037" s="60" t="s">
        <v>441</v>
      </c>
      <c r="B1037" s="60">
        <v>2.0</v>
      </c>
      <c r="C1037" s="57"/>
      <c r="D1037" s="57"/>
      <c r="E1037" s="57"/>
      <c r="F1037" s="57"/>
      <c r="G1037" s="57"/>
      <c r="H1037" s="57"/>
      <c r="I1037" s="57"/>
      <c r="J1037" s="57"/>
      <c r="K1037" s="63"/>
      <c r="L1037" s="57"/>
      <c r="M1037" s="57"/>
      <c r="N1037" s="57"/>
      <c r="O1037" s="57"/>
      <c r="P1037" s="57"/>
      <c r="Q1037" s="57"/>
    </row>
    <row r="1038">
      <c r="A1038" s="60" t="s">
        <v>514</v>
      </c>
      <c r="B1038" s="60" t="s">
        <v>424</v>
      </c>
      <c r="C1038" s="57"/>
      <c r="D1038" s="57"/>
      <c r="E1038" s="57"/>
      <c r="F1038" s="57"/>
      <c r="G1038" s="57"/>
      <c r="H1038" s="57"/>
      <c r="I1038" s="57"/>
      <c r="J1038" s="57"/>
      <c r="K1038" s="63"/>
      <c r="L1038" s="57"/>
      <c r="M1038" s="57"/>
      <c r="N1038" s="57"/>
      <c r="O1038" s="57"/>
      <c r="P1038" s="57"/>
      <c r="Q1038" s="57"/>
    </row>
    <row r="1039">
      <c r="A1039" s="60" t="s">
        <v>515</v>
      </c>
      <c r="B1039" s="60" t="s">
        <v>516</v>
      </c>
      <c r="C1039" s="57"/>
      <c r="D1039" s="57"/>
      <c r="E1039" s="57"/>
      <c r="F1039" s="57"/>
      <c r="G1039" s="57"/>
      <c r="H1039" s="57"/>
      <c r="I1039" s="57"/>
      <c r="J1039" s="57"/>
      <c r="K1039" s="63"/>
      <c r="L1039" s="57"/>
      <c r="M1039" s="57"/>
      <c r="N1039" s="57"/>
      <c r="O1039" s="57"/>
      <c r="P1039" s="57"/>
      <c r="Q1039" s="57"/>
    </row>
    <row r="1040">
      <c r="A1040" s="60" t="s">
        <v>444</v>
      </c>
      <c r="B1040" s="60" t="s">
        <v>445</v>
      </c>
      <c r="C1040" s="57"/>
      <c r="D1040" s="57"/>
      <c r="E1040" s="57"/>
      <c r="F1040" s="57"/>
      <c r="G1040" s="57"/>
      <c r="H1040" s="57"/>
      <c r="I1040" s="57"/>
      <c r="J1040" s="57"/>
      <c r="K1040" s="63"/>
      <c r="L1040" s="57"/>
      <c r="M1040" s="57"/>
      <c r="N1040" s="57"/>
      <c r="O1040" s="57"/>
      <c r="P1040" s="57"/>
      <c r="Q1040" s="57"/>
    </row>
    <row r="1041">
      <c r="A1041" s="60" t="s">
        <v>446</v>
      </c>
      <c r="B1041" s="60" t="s">
        <v>445</v>
      </c>
      <c r="C1041" s="57"/>
      <c r="D1041" s="57"/>
      <c r="E1041" s="57"/>
      <c r="F1041" s="57"/>
      <c r="G1041" s="57"/>
      <c r="H1041" s="57"/>
      <c r="I1041" s="57"/>
      <c r="J1041" s="57"/>
      <c r="K1041" s="63"/>
      <c r="L1041" s="57"/>
      <c r="M1041" s="57"/>
      <c r="N1041" s="57"/>
      <c r="O1041" s="57"/>
      <c r="P1041" s="57"/>
      <c r="Q1041" s="57"/>
    </row>
    <row r="1042">
      <c r="A1042" s="60" t="s">
        <v>447</v>
      </c>
      <c r="B1042" s="60" t="s">
        <v>448</v>
      </c>
      <c r="C1042" s="57"/>
      <c r="D1042" s="57"/>
      <c r="E1042" s="57"/>
      <c r="F1042" s="57"/>
      <c r="G1042" s="57"/>
      <c r="H1042" s="57"/>
      <c r="I1042" s="57"/>
      <c r="J1042" s="57"/>
      <c r="K1042" s="63"/>
      <c r="L1042" s="57"/>
      <c r="M1042" s="57"/>
      <c r="N1042" s="57"/>
      <c r="O1042" s="57"/>
      <c r="P1042" s="57"/>
      <c r="Q1042" s="57"/>
    </row>
    <row r="1043">
      <c r="A1043" s="60" t="s">
        <v>477</v>
      </c>
      <c r="B1043" s="60" t="s">
        <v>424</v>
      </c>
      <c r="C1043" s="57"/>
      <c r="D1043" s="57"/>
      <c r="E1043" s="57"/>
      <c r="F1043" s="57"/>
      <c r="G1043" s="57"/>
      <c r="H1043" s="57"/>
      <c r="I1043" s="57"/>
      <c r="J1043" s="57"/>
      <c r="K1043" s="63"/>
      <c r="L1043" s="57"/>
      <c r="M1043" s="57"/>
      <c r="N1043" s="57"/>
      <c r="O1043" s="57"/>
      <c r="P1043" s="57"/>
      <c r="Q1043" s="57"/>
    </row>
    <row r="1044">
      <c r="A1044" s="60" t="s">
        <v>479</v>
      </c>
      <c r="B1044" s="60" t="s">
        <v>424</v>
      </c>
      <c r="C1044" s="57"/>
      <c r="D1044" s="57"/>
      <c r="E1044" s="57"/>
      <c r="F1044" s="57"/>
      <c r="G1044" s="57"/>
      <c r="H1044" s="57"/>
      <c r="I1044" s="57"/>
      <c r="J1044" s="57"/>
      <c r="K1044" s="63"/>
      <c r="L1044" s="57"/>
      <c r="M1044" s="57"/>
      <c r="N1044" s="57"/>
      <c r="O1044" s="57"/>
      <c r="P1044" s="57"/>
      <c r="Q1044" s="57"/>
    </row>
    <row r="1045">
      <c r="A1045" s="60" t="s">
        <v>57</v>
      </c>
      <c r="B1045" s="60">
        <v>4.0</v>
      </c>
      <c r="C1045" s="57"/>
      <c r="D1045" s="57"/>
      <c r="E1045" s="57"/>
      <c r="F1045" s="57"/>
      <c r="G1045" s="57"/>
      <c r="H1045" s="57"/>
      <c r="I1045" s="57"/>
      <c r="J1045" s="57"/>
      <c r="K1045" s="63"/>
      <c r="L1045" s="57"/>
      <c r="M1045" s="57"/>
      <c r="N1045" s="57"/>
      <c r="O1045" s="57"/>
      <c r="P1045" s="57"/>
      <c r="Q1045" s="57"/>
    </row>
    <row r="1046">
      <c r="A1046" s="60" t="s">
        <v>489</v>
      </c>
      <c r="B1046" s="60" t="s">
        <v>486</v>
      </c>
      <c r="C1046" s="57"/>
      <c r="D1046" s="57"/>
      <c r="E1046" s="57"/>
      <c r="F1046" s="57"/>
      <c r="G1046" s="57"/>
      <c r="H1046" s="57"/>
      <c r="I1046" s="57"/>
      <c r="J1046" s="57"/>
      <c r="K1046" s="63"/>
      <c r="L1046" s="57"/>
      <c r="M1046" s="57"/>
      <c r="N1046" s="57"/>
      <c r="O1046" s="57"/>
      <c r="P1046" s="57"/>
      <c r="Q1046" s="57"/>
    </row>
    <row r="1047">
      <c r="A1047" s="60" t="s">
        <v>684</v>
      </c>
      <c r="B1047" s="60" t="s">
        <v>499</v>
      </c>
      <c r="C1047" s="57"/>
      <c r="D1047" s="57"/>
      <c r="E1047" s="57"/>
      <c r="F1047" s="57"/>
      <c r="G1047" s="57"/>
      <c r="H1047" s="57"/>
      <c r="I1047" s="57"/>
      <c r="J1047" s="57"/>
      <c r="K1047" s="63"/>
      <c r="L1047" s="57"/>
      <c r="M1047" s="57"/>
      <c r="N1047" s="57"/>
      <c r="O1047" s="57"/>
      <c r="P1047" s="57"/>
      <c r="Q1047" s="57"/>
    </row>
    <row r="1048">
      <c r="A1048" s="60" t="s">
        <v>449</v>
      </c>
      <c r="B1048" s="60" t="s">
        <v>450</v>
      </c>
      <c r="C1048" s="57"/>
      <c r="D1048" s="57"/>
      <c r="E1048" s="57"/>
      <c r="F1048" s="57"/>
      <c r="G1048" s="57"/>
      <c r="H1048" s="57"/>
      <c r="I1048" s="57"/>
      <c r="J1048" s="57"/>
      <c r="K1048" s="63"/>
      <c r="L1048" s="57"/>
      <c r="M1048" s="57"/>
      <c r="N1048" s="57"/>
      <c r="O1048" s="57"/>
      <c r="P1048" s="57"/>
      <c r="Q1048" s="57"/>
    </row>
    <row r="1049">
      <c r="A1049" s="60" t="s">
        <v>688</v>
      </c>
      <c r="B1049" s="60">
        <v>2.0</v>
      </c>
      <c r="C1049" s="57"/>
      <c r="D1049" s="57"/>
      <c r="E1049" s="57"/>
      <c r="F1049" s="57"/>
      <c r="G1049" s="57"/>
      <c r="H1049" s="57"/>
      <c r="I1049" s="57"/>
      <c r="J1049" s="57"/>
      <c r="K1049" s="63"/>
      <c r="L1049" s="57"/>
      <c r="M1049" s="57"/>
      <c r="N1049" s="57"/>
      <c r="O1049" s="57"/>
      <c r="P1049" s="57"/>
      <c r="Q1049" s="57"/>
    </row>
    <row r="1050">
      <c r="A1050" s="68" t="s">
        <v>212</v>
      </c>
      <c r="B1050" s="60" t="s">
        <v>689</v>
      </c>
      <c r="C1050" s="57"/>
      <c r="D1050" s="57"/>
      <c r="E1050" s="57"/>
      <c r="F1050" s="57"/>
      <c r="G1050" s="57"/>
      <c r="H1050" s="57"/>
      <c r="I1050" s="57"/>
      <c r="J1050" s="57"/>
      <c r="K1050" s="63"/>
      <c r="L1050" s="57"/>
      <c r="M1050" s="57"/>
      <c r="N1050" s="57"/>
      <c r="O1050" s="57"/>
      <c r="P1050" s="57"/>
      <c r="Q1050" s="57"/>
    </row>
    <row r="1051">
      <c r="A1051" s="69" t="s">
        <v>38</v>
      </c>
      <c r="B1051" s="26"/>
      <c r="C1051" s="57"/>
      <c r="D1051" s="57"/>
      <c r="E1051" s="65">
        <v>340.0</v>
      </c>
      <c r="F1051" s="57">
        <f t="shared" ref="F1051:F1052" si="465">ROUNDDOWN(E1051*1.1,0)</f>
        <v>374</v>
      </c>
      <c r="G1051" s="57">
        <f t="shared" ref="G1051:G1052" si="466">ROUNDDOWN(E1051*1.21,0)</f>
        <v>411</v>
      </c>
      <c r="H1051" s="57">
        <f t="shared" ref="H1051:H1052" si="467">ROUNDDOWN(E1051*1.33,0)</f>
        <v>452</v>
      </c>
      <c r="I1051" s="57">
        <f t="shared" ref="I1051:I1052" si="468">ROUNDDOWN(E1051*1.46,0)</f>
        <v>496</v>
      </c>
      <c r="J1051" s="57">
        <f t="shared" ref="J1051:J1052" si="469">ROUNDDOWN(E1051*1.6,0)</f>
        <v>544</v>
      </c>
      <c r="K1051" s="63">
        <f t="shared" ref="K1051:K1052" si="470">ROUNDDOWN(E1051*1.76,0)</f>
        <v>598</v>
      </c>
      <c r="L1051" s="57">
        <f t="shared" ref="L1051:L1052" si="471">ROUNDDOWN(E1051*1.93,0)</f>
        <v>656</v>
      </c>
      <c r="M1051" s="57">
        <f t="shared" ref="M1051:M1052" si="472">ROUNDDOWN(E1051*2.12,0)</f>
        <v>720</v>
      </c>
      <c r="N1051" s="57">
        <f t="shared" ref="N1051:N1052" si="473">ROUNDDOWN(E1051*2.33,0)</f>
        <v>792</v>
      </c>
      <c r="O1051" s="57">
        <f t="shared" ref="O1051:O1052" si="474">ROUNDDOWN(E1051*2.56,0)</f>
        <v>870</v>
      </c>
      <c r="P1051" s="57">
        <f t="shared" ref="P1051:P1052" si="475">ROUNDDOWN(E1051*2.81,0)</f>
        <v>955</v>
      </c>
      <c r="Q1051" s="57"/>
    </row>
    <row r="1052">
      <c r="A1052" s="69" t="s">
        <v>24</v>
      </c>
      <c r="B1052" s="26"/>
      <c r="C1052" s="57"/>
      <c r="D1052" s="57"/>
      <c r="E1052" s="65">
        <v>103.0</v>
      </c>
      <c r="F1052" s="57">
        <f t="shared" si="465"/>
        <v>113</v>
      </c>
      <c r="G1052" s="57">
        <f t="shared" si="466"/>
        <v>124</v>
      </c>
      <c r="H1052" s="57">
        <f t="shared" si="467"/>
        <v>136</v>
      </c>
      <c r="I1052" s="57">
        <f t="shared" si="468"/>
        <v>150</v>
      </c>
      <c r="J1052" s="57">
        <f t="shared" si="469"/>
        <v>164</v>
      </c>
      <c r="K1052" s="63">
        <f t="shared" si="470"/>
        <v>181</v>
      </c>
      <c r="L1052" s="57">
        <f t="shared" si="471"/>
        <v>198</v>
      </c>
      <c r="M1052" s="57">
        <f t="shared" si="472"/>
        <v>218</v>
      </c>
      <c r="N1052" s="57">
        <f t="shared" si="473"/>
        <v>239</v>
      </c>
      <c r="O1052" s="57">
        <f t="shared" si="474"/>
        <v>263</v>
      </c>
      <c r="P1052" s="57">
        <f t="shared" si="475"/>
        <v>289</v>
      </c>
      <c r="Q1052" s="57"/>
    </row>
    <row r="1053">
      <c r="A1053" s="69" t="s">
        <v>428</v>
      </c>
      <c r="B1053" s="60" t="s">
        <v>465</v>
      </c>
      <c r="C1053" s="57"/>
      <c r="D1053" s="57"/>
      <c r="E1053" s="57"/>
      <c r="F1053" s="57"/>
      <c r="G1053" s="57"/>
      <c r="H1053" s="57"/>
      <c r="I1053" s="57"/>
      <c r="J1053" s="57"/>
      <c r="K1053" s="63"/>
      <c r="L1053" s="57"/>
      <c r="M1053" s="57"/>
      <c r="N1053" s="57"/>
      <c r="O1053" s="57"/>
      <c r="P1053" s="57"/>
      <c r="Q1053" s="57"/>
    </row>
    <row r="1054">
      <c r="A1054" s="69" t="s">
        <v>55</v>
      </c>
      <c r="B1054" s="60" t="s">
        <v>430</v>
      </c>
      <c r="C1054" s="57"/>
      <c r="D1054" s="57"/>
      <c r="E1054" s="57"/>
      <c r="F1054" s="57"/>
      <c r="G1054" s="57"/>
      <c r="H1054" s="57"/>
      <c r="I1054" s="57"/>
      <c r="J1054" s="57"/>
      <c r="K1054" s="63"/>
      <c r="L1054" s="57"/>
      <c r="M1054" s="57"/>
      <c r="N1054" s="57"/>
      <c r="O1054" s="57"/>
      <c r="P1054" s="57"/>
      <c r="Q1054" s="57"/>
    </row>
    <row r="1055">
      <c r="A1055" s="69" t="s">
        <v>51</v>
      </c>
      <c r="B1055" s="60" t="s">
        <v>451</v>
      </c>
      <c r="C1055" s="57"/>
      <c r="D1055" s="57"/>
      <c r="E1055" s="57"/>
      <c r="F1055" s="57"/>
      <c r="G1055" s="57"/>
      <c r="H1055" s="57"/>
      <c r="I1055" s="57"/>
      <c r="J1055" s="57"/>
      <c r="K1055" s="63"/>
      <c r="L1055" s="57"/>
      <c r="M1055" s="57"/>
      <c r="N1055" s="57"/>
      <c r="O1055" s="57"/>
      <c r="P1055" s="57"/>
      <c r="Q1055" s="57"/>
    </row>
    <row r="1056">
      <c r="A1056" s="69" t="s">
        <v>49</v>
      </c>
      <c r="B1056" s="60" t="s">
        <v>453</v>
      </c>
      <c r="C1056" s="57"/>
      <c r="D1056" s="57"/>
      <c r="E1056" s="57"/>
      <c r="F1056" s="57"/>
      <c r="G1056" s="57"/>
      <c r="H1056" s="57"/>
      <c r="I1056" s="57"/>
      <c r="J1056" s="57"/>
      <c r="K1056" s="63"/>
      <c r="L1056" s="57"/>
      <c r="M1056" s="57"/>
      <c r="N1056" s="57"/>
      <c r="O1056" s="57"/>
      <c r="P1056" s="57"/>
      <c r="Q1056" s="57"/>
    </row>
    <row r="1057">
      <c r="A1057" s="69" t="s">
        <v>432</v>
      </c>
      <c r="B1057" s="60" t="s">
        <v>466</v>
      </c>
      <c r="C1057" s="57"/>
      <c r="D1057" s="57"/>
      <c r="E1057" s="57"/>
      <c r="F1057" s="57"/>
      <c r="G1057" s="57"/>
      <c r="H1057" s="57"/>
      <c r="I1057" s="57"/>
      <c r="J1057" s="57"/>
      <c r="K1057" s="63"/>
      <c r="L1057" s="57"/>
      <c r="M1057" s="57"/>
      <c r="N1057" s="57"/>
      <c r="O1057" s="57"/>
      <c r="P1057" s="57"/>
      <c r="Q1057" s="57"/>
    </row>
    <row r="1058">
      <c r="A1058" s="69" t="s">
        <v>422</v>
      </c>
      <c r="B1058" s="60" t="s">
        <v>434</v>
      </c>
      <c r="C1058" s="57"/>
      <c r="D1058" s="57"/>
      <c r="E1058" s="57"/>
      <c r="F1058" s="57"/>
      <c r="G1058" s="57"/>
      <c r="H1058" s="57"/>
      <c r="I1058" s="57"/>
      <c r="J1058" s="57"/>
      <c r="K1058" s="63"/>
      <c r="L1058" s="57"/>
      <c r="M1058" s="57"/>
      <c r="N1058" s="57"/>
      <c r="O1058" s="57"/>
      <c r="P1058" s="57"/>
      <c r="Q1058" s="57"/>
    </row>
    <row r="1059">
      <c r="A1059" s="69" t="s">
        <v>435</v>
      </c>
      <c r="B1059" s="60" t="s">
        <v>436</v>
      </c>
      <c r="C1059" s="57"/>
      <c r="D1059" s="57"/>
      <c r="E1059" s="57"/>
      <c r="F1059" s="57"/>
      <c r="G1059" s="57"/>
      <c r="H1059" s="57"/>
      <c r="I1059" s="57"/>
      <c r="J1059" s="57"/>
      <c r="K1059" s="63"/>
      <c r="L1059" s="57"/>
      <c r="M1059" s="57"/>
      <c r="N1059" s="57"/>
      <c r="O1059" s="57"/>
      <c r="P1059" s="57"/>
      <c r="Q1059" s="57"/>
    </row>
    <row r="1060">
      <c r="A1060" s="69" t="s">
        <v>53</v>
      </c>
      <c r="B1060" s="60" t="s">
        <v>465</v>
      </c>
      <c r="C1060" s="57"/>
      <c r="D1060" s="57"/>
      <c r="E1060" s="57"/>
      <c r="F1060" s="57"/>
      <c r="G1060" s="57"/>
      <c r="H1060" s="57"/>
      <c r="I1060" s="57"/>
      <c r="J1060" s="57"/>
      <c r="K1060" s="63"/>
      <c r="L1060" s="57"/>
      <c r="M1060" s="57"/>
      <c r="N1060" s="57"/>
      <c r="O1060" s="57"/>
      <c r="P1060" s="57"/>
      <c r="Q1060" s="57"/>
    </row>
    <row r="1061">
      <c r="A1061" s="69" t="s">
        <v>50</v>
      </c>
      <c r="B1061" s="60" t="s">
        <v>425</v>
      </c>
      <c r="C1061" s="57"/>
      <c r="D1061" s="57"/>
      <c r="E1061" s="57"/>
      <c r="F1061" s="57"/>
      <c r="G1061" s="57"/>
      <c r="H1061" s="57"/>
      <c r="I1061" s="57"/>
      <c r="J1061" s="57"/>
      <c r="K1061" s="63"/>
      <c r="L1061" s="57"/>
      <c r="M1061" s="57"/>
      <c r="N1061" s="57"/>
      <c r="O1061" s="57"/>
      <c r="P1061" s="57"/>
      <c r="Q1061" s="57"/>
    </row>
    <row r="1062">
      <c r="A1062" s="69" t="s">
        <v>438</v>
      </c>
      <c r="B1062" s="60" t="s">
        <v>436</v>
      </c>
      <c r="C1062" s="57"/>
      <c r="D1062" s="57"/>
      <c r="E1062" s="57"/>
      <c r="F1062" s="57"/>
      <c r="G1062" s="57"/>
      <c r="H1062" s="57"/>
      <c r="I1062" s="57"/>
      <c r="J1062" s="57"/>
      <c r="K1062" s="63"/>
      <c r="L1062" s="57"/>
      <c r="M1062" s="57"/>
      <c r="N1062" s="57"/>
      <c r="O1062" s="57"/>
      <c r="P1062" s="57"/>
      <c r="Q1062" s="57"/>
    </row>
    <row r="1063">
      <c r="A1063" s="69" t="s">
        <v>439</v>
      </c>
      <c r="B1063" s="60" t="s">
        <v>440</v>
      </c>
      <c r="C1063" s="57"/>
      <c r="D1063" s="57"/>
      <c r="E1063" s="57"/>
      <c r="F1063" s="57"/>
      <c r="G1063" s="57"/>
      <c r="H1063" s="57"/>
      <c r="I1063" s="57"/>
      <c r="J1063" s="57"/>
      <c r="K1063" s="63"/>
      <c r="L1063" s="57"/>
      <c r="M1063" s="57"/>
      <c r="N1063" s="57"/>
      <c r="O1063" s="57"/>
      <c r="P1063" s="57"/>
      <c r="Q1063" s="57"/>
    </row>
    <row r="1064">
      <c r="A1064" s="69" t="s">
        <v>441</v>
      </c>
      <c r="B1064" s="60">
        <v>5.0</v>
      </c>
      <c r="C1064" s="57"/>
      <c r="D1064" s="57"/>
      <c r="E1064" s="57"/>
      <c r="F1064" s="57"/>
      <c r="G1064" s="57"/>
      <c r="H1064" s="57"/>
      <c r="I1064" s="57"/>
      <c r="J1064" s="57"/>
      <c r="K1064" s="63"/>
      <c r="L1064" s="57"/>
      <c r="M1064" s="57"/>
      <c r="N1064" s="57"/>
      <c r="O1064" s="57"/>
      <c r="P1064" s="57"/>
      <c r="Q1064" s="57"/>
    </row>
    <row r="1065">
      <c r="A1065" s="69" t="s">
        <v>467</v>
      </c>
      <c r="B1065" s="60" t="s">
        <v>464</v>
      </c>
      <c r="C1065" s="57"/>
      <c r="D1065" s="57"/>
      <c r="E1065" s="57"/>
      <c r="F1065" s="57"/>
      <c r="G1065" s="57"/>
      <c r="H1065" s="57"/>
      <c r="I1065" s="57"/>
      <c r="J1065" s="57"/>
      <c r="K1065" s="63"/>
      <c r="L1065" s="57"/>
      <c r="M1065" s="57"/>
      <c r="N1065" s="57"/>
      <c r="O1065" s="57"/>
      <c r="P1065" s="57"/>
      <c r="Q1065" s="57"/>
    </row>
    <row r="1066">
      <c r="A1066" s="69" t="s">
        <v>444</v>
      </c>
      <c r="B1066" s="60" t="s">
        <v>445</v>
      </c>
      <c r="C1066" s="57"/>
      <c r="D1066" s="57"/>
      <c r="E1066" s="57"/>
      <c r="F1066" s="57"/>
      <c r="G1066" s="57"/>
      <c r="H1066" s="57"/>
      <c r="I1066" s="57"/>
      <c r="J1066" s="57"/>
      <c r="K1066" s="63"/>
      <c r="L1066" s="57"/>
      <c r="M1066" s="57"/>
      <c r="N1066" s="57"/>
      <c r="O1066" s="57"/>
      <c r="P1066" s="57"/>
      <c r="Q1066" s="57"/>
    </row>
    <row r="1067">
      <c r="A1067" s="69" t="s">
        <v>446</v>
      </c>
      <c r="B1067" s="60" t="s">
        <v>445</v>
      </c>
      <c r="C1067" s="57"/>
      <c r="D1067" s="57"/>
      <c r="E1067" s="57"/>
      <c r="F1067" s="57"/>
      <c r="G1067" s="57"/>
      <c r="H1067" s="57"/>
      <c r="I1067" s="57"/>
      <c r="J1067" s="57"/>
      <c r="K1067" s="63"/>
      <c r="L1067" s="57"/>
      <c r="M1067" s="57"/>
      <c r="N1067" s="57"/>
      <c r="O1067" s="57"/>
      <c r="P1067" s="57"/>
      <c r="Q1067" s="57"/>
    </row>
    <row r="1068">
      <c r="A1068" s="69" t="s">
        <v>447</v>
      </c>
      <c r="B1068" s="60" t="s">
        <v>466</v>
      </c>
      <c r="C1068" s="57"/>
      <c r="D1068" s="57"/>
      <c r="E1068" s="57"/>
      <c r="F1068" s="57"/>
      <c r="G1068" s="57"/>
      <c r="H1068" s="57"/>
      <c r="I1068" s="57"/>
      <c r="J1068" s="57"/>
      <c r="K1068" s="63"/>
      <c r="L1068" s="57"/>
      <c r="M1068" s="57"/>
      <c r="N1068" s="57"/>
      <c r="O1068" s="57"/>
      <c r="P1068" s="57"/>
      <c r="Q1068" s="57"/>
    </row>
    <row r="1069">
      <c r="A1069" s="60" t="s">
        <v>57</v>
      </c>
      <c r="B1069" s="60">
        <v>3.0</v>
      </c>
      <c r="C1069" s="57"/>
      <c r="D1069" s="57"/>
      <c r="E1069" s="57"/>
      <c r="F1069" s="57"/>
      <c r="G1069" s="57"/>
      <c r="H1069" s="57"/>
      <c r="I1069" s="57"/>
      <c r="J1069" s="57"/>
      <c r="K1069" s="63"/>
      <c r="L1069" s="57"/>
      <c r="M1069" s="57"/>
      <c r="N1069" s="57"/>
      <c r="O1069" s="57"/>
      <c r="P1069" s="57"/>
      <c r="Q1069" s="57"/>
    </row>
    <row r="1070">
      <c r="A1070" s="60" t="s">
        <v>449</v>
      </c>
      <c r="B1070" s="60" t="s">
        <v>450</v>
      </c>
      <c r="C1070" s="57"/>
      <c r="D1070" s="57"/>
      <c r="E1070" s="57"/>
      <c r="F1070" s="57"/>
      <c r="G1070" s="57"/>
      <c r="H1070" s="57"/>
      <c r="I1070" s="57"/>
      <c r="J1070" s="57"/>
      <c r="K1070" s="63"/>
      <c r="L1070" s="57"/>
      <c r="M1070" s="57"/>
      <c r="N1070" s="57"/>
      <c r="O1070" s="57"/>
      <c r="P1070" s="57"/>
      <c r="Q1070" s="57"/>
    </row>
    <row r="1071">
      <c r="A1071" s="76" t="s">
        <v>213</v>
      </c>
      <c r="B1071" s="60" t="s">
        <v>459</v>
      </c>
      <c r="C1071" s="57"/>
      <c r="D1071" s="57"/>
      <c r="E1071" s="57"/>
      <c r="F1071" s="57"/>
      <c r="G1071" s="57"/>
      <c r="H1071" s="57"/>
      <c r="I1071" s="57"/>
      <c r="J1071" s="57"/>
      <c r="K1071" s="63"/>
      <c r="L1071" s="57"/>
      <c r="M1071" s="57"/>
      <c r="N1071" s="57"/>
      <c r="O1071" s="57"/>
      <c r="P1071" s="57"/>
      <c r="Q1071" s="57"/>
    </row>
    <row r="1072">
      <c r="A1072" s="60" t="s">
        <v>38</v>
      </c>
      <c r="B1072" s="26"/>
      <c r="C1072" s="57"/>
      <c r="D1072" s="57"/>
      <c r="E1072" s="57"/>
      <c r="F1072" s="57"/>
      <c r="G1072" s="57"/>
      <c r="H1072" s="65">
        <v>775.0</v>
      </c>
      <c r="I1072" s="57">
        <f t="shared" ref="I1072:I1075" si="476">ROUNDDOWN(H1072*1.1,0)</f>
        <v>852</v>
      </c>
      <c r="J1072" s="57">
        <f t="shared" ref="J1072:J1075" si="477">ROUNDDOWN(H1072*1.21,0)</f>
        <v>937</v>
      </c>
      <c r="K1072" s="63">
        <f t="shared" ref="K1072:K1075" si="478">ROUNDDOWN(H1072*1.33,0)</f>
        <v>1030</v>
      </c>
      <c r="L1072" s="57">
        <f t="shared" ref="L1072:L1075" si="479">ROUNDDOWN(H1072*1.46,0)</f>
        <v>1131</v>
      </c>
      <c r="M1072" s="57">
        <f t="shared" ref="M1072:M1075" si="480">ROUNDDOWN(H1072*1.6,0)</f>
        <v>1240</v>
      </c>
      <c r="N1072" s="57">
        <f t="shared" ref="N1072:N1075" si="481">ROUNDDOWN(H1072*1.76,0)</f>
        <v>1364</v>
      </c>
      <c r="O1072" s="57">
        <f t="shared" ref="O1072:O1075" si="482">ROUNDDOWN(H1072*1.93,0)</f>
        <v>1495</v>
      </c>
      <c r="P1072" s="57">
        <f t="shared" ref="P1072:P1075" si="483">ROUNDDOWN(H1072*2.12,0)</f>
        <v>1643</v>
      </c>
      <c r="Q1072" s="57"/>
    </row>
    <row r="1073">
      <c r="A1073" s="60" t="s">
        <v>24</v>
      </c>
      <c r="B1073" s="26"/>
      <c r="C1073" s="57"/>
      <c r="D1073" s="57"/>
      <c r="E1073" s="57"/>
      <c r="F1073" s="57"/>
      <c r="G1073" s="57"/>
      <c r="H1073" s="65">
        <v>155.0</v>
      </c>
      <c r="I1073" s="57">
        <f t="shared" si="476"/>
        <v>170</v>
      </c>
      <c r="J1073" s="57">
        <f t="shared" si="477"/>
        <v>187</v>
      </c>
      <c r="K1073" s="63">
        <f t="shared" si="478"/>
        <v>206</v>
      </c>
      <c r="L1073" s="57">
        <f t="shared" si="479"/>
        <v>226</v>
      </c>
      <c r="M1073" s="57">
        <f t="shared" si="480"/>
        <v>248</v>
      </c>
      <c r="N1073" s="57">
        <f t="shared" si="481"/>
        <v>272</v>
      </c>
      <c r="O1073" s="57">
        <f t="shared" si="482"/>
        <v>299</v>
      </c>
      <c r="P1073" s="57">
        <f t="shared" si="483"/>
        <v>328</v>
      </c>
      <c r="Q1073" s="57"/>
    </row>
    <row r="1074">
      <c r="A1074" s="60" t="s">
        <v>27</v>
      </c>
      <c r="B1074" s="26"/>
      <c r="C1074" s="57"/>
      <c r="D1074" s="57"/>
      <c r="E1074" s="57"/>
      <c r="F1074" s="57"/>
      <c r="G1074" s="57"/>
      <c r="H1074" s="65">
        <v>310.0</v>
      </c>
      <c r="I1074" s="57">
        <f t="shared" si="476"/>
        <v>341</v>
      </c>
      <c r="J1074" s="57">
        <f t="shared" si="477"/>
        <v>375</v>
      </c>
      <c r="K1074" s="63">
        <f t="shared" si="478"/>
        <v>412</v>
      </c>
      <c r="L1074" s="57">
        <f t="shared" si="479"/>
        <v>452</v>
      </c>
      <c r="M1074" s="57">
        <f t="shared" si="480"/>
        <v>496</v>
      </c>
      <c r="N1074" s="57">
        <f t="shared" si="481"/>
        <v>545</v>
      </c>
      <c r="O1074" s="57">
        <f t="shared" si="482"/>
        <v>598</v>
      </c>
      <c r="P1074" s="57">
        <f t="shared" si="483"/>
        <v>657</v>
      </c>
      <c r="Q1074" s="57"/>
    </row>
    <row r="1075">
      <c r="A1075" s="60" t="s">
        <v>39</v>
      </c>
      <c r="B1075" s="26"/>
      <c r="C1075" s="57"/>
      <c r="D1075" s="57"/>
      <c r="E1075" s="57"/>
      <c r="F1075" s="57"/>
      <c r="G1075" s="57"/>
      <c r="H1075" s="65">
        <v>150.0</v>
      </c>
      <c r="I1075" s="57">
        <f t="shared" si="476"/>
        <v>165</v>
      </c>
      <c r="J1075" s="57">
        <f t="shared" si="477"/>
        <v>181</v>
      </c>
      <c r="K1075" s="63">
        <f t="shared" si="478"/>
        <v>199</v>
      </c>
      <c r="L1075" s="57">
        <f t="shared" si="479"/>
        <v>219</v>
      </c>
      <c r="M1075" s="57">
        <f t="shared" si="480"/>
        <v>240</v>
      </c>
      <c r="N1075" s="57">
        <f t="shared" si="481"/>
        <v>264</v>
      </c>
      <c r="O1075" s="57">
        <f t="shared" si="482"/>
        <v>289</v>
      </c>
      <c r="P1075" s="57">
        <f t="shared" si="483"/>
        <v>318</v>
      </c>
      <c r="Q1075" s="57"/>
    </row>
    <row r="1076">
      <c r="A1076" s="60" t="s">
        <v>428</v>
      </c>
      <c r="B1076" s="60" t="s">
        <v>429</v>
      </c>
      <c r="C1076" s="57"/>
      <c r="D1076" s="57"/>
      <c r="E1076" s="57"/>
      <c r="F1076" s="57"/>
      <c r="G1076" s="57"/>
      <c r="H1076" s="57"/>
      <c r="I1076" s="57"/>
      <c r="J1076" s="57"/>
      <c r="K1076" s="63"/>
      <c r="L1076" s="57"/>
      <c r="M1076" s="57"/>
      <c r="N1076" s="57"/>
      <c r="O1076" s="57"/>
      <c r="P1076" s="57"/>
      <c r="Q1076" s="57"/>
    </row>
    <row r="1077">
      <c r="A1077" s="60" t="s">
        <v>55</v>
      </c>
      <c r="B1077" s="60" t="s">
        <v>430</v>
      </c>
      <c r="C1077" s="57"/>
      <c r="D1077" s="57"/>
      <c r="E1077" s="57"/>
      <c r="F1077" s="57"/>
      <c r="G1077" s="57"/>
      <c r="H1077" s="57"/>
      <c r="I1077" s="57"/>
      <c r="J1077" s="57"/>
      <c r="K1077" s="63"/>
      <c r="L1077" s="57"/>
      <c r="M1077" s="57"/>
      <c r="N1077" s="57"/>
      <c r="O1077" s="57"/>
      <c r="P1077" s="57"/>
      <c r="Q1077" s="57"/>
    </row>
    <row r="1078">
      <c r="A1078" s="60" t="s">
        <v>490</v>
      </c>
      <c r="B1078" s="60" t="s">
        <v>491</v>
      </c>
      <c r="C1078" s="57"/>
      <c r="D1078" s="57"/>
      <c r="E1078" s="57"/>
      <c r="F1078" s="57"/>
      <c r="G1078" s="57"/>
      <c r="H1078" s="57"/>
      <c r="I1078" s="57"/>
      <c r="J1078" s="57"/>
      <c r="K1078" s="63"/>
      <c r="L1078" s="57"/>
      <c r="M1078" s="57"/>
      <c r="N1078" s="57"/>
      <c r="O1078" s="57"/>
      <c r="P1078" s="57"/>
      <c r="Q1078" s="57"/>
    </row>
    <row r="1079">
      <c r="A1079" s="60" t="s">
        <v>51</v>
      </c>
      <c r="B1079" s="60" t="s">
        <v>451</v>
      </c>
      <c r="C1079" s="57"/>
      <c r="D1079" s="57"/>
      <c r="E1079" s="57"/>
      <c r="F1079" s="57"/>
      <c r="G1079" s="57"/>
      <c r="H1079" s="57"/>
      <c r="I1079" s="57"/>
      <c r="J1079" s="57"/>
      <c r="K1079" s="63"/>
      <c r="L1079" s="57"/>
      <c r="M1079" s="57"/>
      <c r="N1079" s="57"/>
      <c r="O1079" s="57"/>
      <c r="P1079" s="57"/>
      <c r="Q1079" s="57"/>
    </row>
    <row r="1080">
      <c r="A1080" s="60" t="s">
        <v>49</v>
      </c>
      <c r="B1080" s="60" t="s">
        <v>609</v>
      </c>
      <c r="C1080" s="57"/>
      <c r="D1080" s="57"/>
      <c r="E1080" s="57"/>
      <c r="F1080" s="57"/>
      <c r="G1080" s="57"/>
      <c r="H1080" s="57"/>
      <c r="I1080" s="57"/>
      <c r="J1080" s="57"/>
      <c r="K1080" s="63"/>
      <c r="L1080" s="57"/>
      <c r="M1080" s="57"/>
      <c r="N1080" s="57"/>
      <c r="O1080" s="57"/>
      <c r="P1080" s="57"/>
      <c r="Q1080" s="57"/>
    </row>
    <row r="1081">
      <c r="A1081" s="60" t="s">
        <v>432</v>
      </c>
      <c r="B1081" s="60" t="s">
        <v>493</v>
      </c>
      <c r="C1081" s="57"/>
      <c r="D1081" s="57"/>
      <c r="E1081" s="57"/>
      <c r="F1081" s="57"/>
      <c r="G1081" s="57"/>
      <c r="H1081" s="57"/>
      <c r="I1081" s="57"/>
      <c r="J1081" s="57"/>
      <c r="K1081" s="63"/>
      <c r="L1081" s="57"/>
      <c r="M1081" s="57"/>
      <c r="N1081" s="57"/>
      <c r="O1081" s="57"/>
      <c r="P1081" s="57"/>
      <c r="Q1081" s="57"/>
    </row>
    <row r="1082">
      <c r="A1082" s="60" t="s">
        <v>53</v>
      </c>
      <c r="B1082" s="60" t="s">
        <v>458</v>
      </c>
      <c r="C1082" s="57"/>
      <c r="D1082" s="57"/>
      <c r="E1082" s="57"/>
      <c r="F1082" s="57"/>
      <c r="G1082" s="57"/>
      <c r="H1082" s="57"/>
      <c r="I1082" s="57"/>
      <c r="J1082" s="57"/>
      <c r="K1082" s="63"/>
      <c r="L1082" s="57"/>
      <c r="M1082" s="57"/>
      <c r="N1082" s="57"/>
      <c r="O1082" s="57"/>
      <c r="P1082" s="57"/>
      <c r="Q1082" s="57"/>
    </row>
    <row r="1083">
      <c r="A1083" s="60" t="s">
        <v>50</v>
      </c>
      <c r="B1083" s="60" t="s">
        <v>98</v>
      </c>
      <c r="C1083" s="57"/>
      <c r="D1083" s="57"/>
      <c r="E1083" s="57"/>
      <c r="F1083" s="57"/>
      <c r="G1083" s="57"/>
      <c r="H1083" s="57"/>
      <c r="I1083" s="57"/>
      <c r="J1083" s="57"/>
      <c r="K1083" s="63"/>
      <c r="L1083" s="57"/>
      <c r="M1083" s="57"/>
      <c r="N1083" s="57"/>
      <c r="O1083" s="57"/>
      <c r="P1083" s="57"/>
      <c r="Q1083" s="57"/>
    </row>
    <row r="1084">
      <c r="A1084" s="60" t="s">
        <v>483</v>
      </c>
      <c r="B1084" s="60" t="s">
        <v>690</v>
      </c>
      <c r="C1084" s="57"/>
      <c r="D1084" s="57"/>
      <c r="E1084" s="57"/>
      <c r="F1084" s="57"/>
      <c r="G1084" s="57"/>
      <c r="H1084" s="57"/>
      <c r="I1084" s="57"/>
      <c r="J1084" s="57"/>
      <c r="K1084" s="63"/>
      <c r="L1084" s="57"/>
      <c r="M1084" s="57"/>
      <c r="N1084" s="57"/>
      <c r="O1084" s="57"/>
      <c r="P1084" s="57"/>
      <c r="Q1084" s="57"/>
    </row>
    <row r="1085">
      <c r="A1085" s="60" t="s">
        <v>438</v>
      </c>
      <c r="B1085" s="60" t="s">
        <v>472</v>
      </c>
      <c r="C1085" s="57"/>
      <c r="D1085" s="57"/>
      <c r="E1085" s="57"/>
      <c r="F1085" s="57"/>
      <c r="G1085" s="57"/>
      <c r="H1085" s="57"/>
      <c r="I1085" s="57"/>
      <c r="J1085" s="57"/>
      <c r="K1085" s="63"/>
      <c r="L1085" s="57"/>
      <c r="M1085" s="57"/>
      <c r="N1085" s="57"/>
      <c r="O1085" s="57"/>
      <c r="P1085" s="57"/>
      <c r="Q1085" s="57"/>
    </row>
    <row r="1086">
      <c r="A1086" s="60" t="s">
        <v>439</v>
      </c>
      <c r="B1086" s="60" t="s">
        <v>473</v>
      </c>
      <c r="C1086" s="57"/>
      <c r="D1086" s="57"/>
      <c r="E1086" s="57"/>
      <c r="F1086" s="57"/>
      <c r="G1086" s="57"/>
      <c r="H1086" s="57"/>
      <c r="I1086" s="57"/>
      <c r="J1086" s="57"/>
      <c r="K1086" s="63"/>
      <c r="L1086" s="57"/>
      <c r="M1086" s="57"/>
      <c r="N1086" s="57"/>
      <c r="O1086" s="57"/>
      <c r="P1086" s="57"/>
      <c r="Q1086" s="57"/>
    </row>
    <row r="1087">
      <c r="A1087" s="60" t="s">
        <v>441</v>
      </c>
      <c r="B1087" s="60">
        <v>6.0</v>
      </c>
      <c r="C1087" s="57"/>
      <c r="D1087" s="57"/>
      <c r="E1087" s="57"/>
      <c r="F1087" s="57"/>
      <c r="G1087" s="57"/>
      <c r="H1087" s="57"/>
      <c r="I1087" s="57"/>
      <c r="J1087" s="57"/>
      <c r="K1087" s="63"/>
      <c r="L1087" s="57"/>
      <c r="M1087" s="57"/>
      <c r="N1087" s="57"/>
      <c r="O1087" s="57"/>
      <c r="P1087" s="57"/>
      <c r="Q1087" s="57"/>
    </row>
    <row r="1088">
      <c r="A1088" s="60" t="s">
        <v>444</v>
      </c>
      <c r="B1088" s="60" t="s">
        <v>445</v>
      </c>
      <c r="C1088" s="57"/>
      <c r="D1088" s="57"/>
      <c r="E1088" s="57"/>
      <c r="F1088" s="57"/>
      <c r="G1088" s="57"/>
      <c r="H1088" s="57"/>
      <c r="I1088" s="57"/>
      <c r="J1088" s="57"/>
      <c r="K1088" s="63"/>
      <c r="L1088" s="57"/>
      <c r="M1088" s="57"/>
      <c r="N1088" s="57"/>
      <c r="O1088" s="57"/>
      <c r="P1088" s="57"/>
      <c r="Q1088" s="57"/>
    </row>
    <row r="1089">
      <c r="A1089" s="60" t="s">
        <v>446</v>
      </c>
      <c r="B1089" s="60" t="s">
        <v>445</v>
      </c>
      <c r="C1089" s="57"/>
      <c r="D1089" s="57"/>
      <c r="E1089" s="57"/>
      <c r="F1089" s="57"/>
      <c r="G1089" s="57"/>
      <c r="H1089" s="57"/>
      <c r="I1089" s="57"/>
      <c r="J1089" s="57"/>
      <c r="K1089" s="63"/>
      <c r="L1089" s="57"/>
      <c r="M1089" s="57"/>
      <c r="N1089" s="57"/>
      <c r="O1089" s="57"/>
      <c r="P1089" s="57"/>
      <c r="Q1089" s="57"/>
    </row>
    <row r="1090">
      <c r="A1090" s="60" t="s">
        <v>495</v>
      </c>
      <c r="B1090" s="60" t="s">
        <v>482</v>
      </c>
      <c r="C1090" s="57"/>
      <c r="D1090" s="57"/>
      <c r="E1090" s="57"/>
      <c r="F1090" s="57"/>
      <c r="G1090" s="57"/>
      <c r="H1090" s="57"/>
      <c r="I1090" s="57"/>
      <c r="J1090" s="57"/>
      <c r="K1090" s="63"/>
      <c r="L1090" s="57"/>
      <c r="M1090" s="57"/>
      <c r="N1090" s="57"/>
      <c r="O1090" s="57"/>
      <c r="P1090" s="57"/>
      <c r="Q1090" s="57"/>
    </row>
    <row r="1091">
      <c r="A1091" s="76" t="s">
        <v>310</v>
      </c>
      <c r="B1091" s="60" t="s">
        <v>416</v>
      </c>
      <c r="C1091" s="57"/>
      <c r="D1091" s="57"/>
      <c r="E1091" s="57"/>
      <c r="F1091" s="57"/>
      <c r="G1091" s="57"/>
      <c r="H1091" s="57"/>
      <c r="I1091" s="57"/>
      <c r="J1091" s="57"/>
      <c r="K1091" s="63"/>
      <c r="L1091" s="57"/>
      <c r="M1091" s="57"/>
      <c r="N1091" s="57"/>
      <c r="O1091" s="57"/>
      <c r="P1091" s="57"/>
      <c r="Q1091" s="57"/>
    </row>
    <row r="1092">
      <c r="A1092" s="60" t="s">
        <v>38</v>
      </c>
      <c r="B1092" s="26"/>
      <c r="C1092" s="57"/>
      <c r="D1092" s="57"/>
      <c r="E1092" s="57"/>
      <c r="F1092" s="57"/>
      <c r="G1092" s="57"/>
      <c r="H1092" s="65">
        <v>51.0</v>
      </c>
      <c r="I1092" s="57">
        <f t="shared" ref="I1092:I1094" si="484">ROUNDDOWN(H1092*1.1,0)</f>
        <v>56</v>
      </c>
      <c r="J1092" s="57">
        <f t="shared" ref="J1092:J1094" si="485">ROUNDDOWN(H1092*1.21,0)</f>
        <v>61</v>
      </c>
      <c r="K1092" s="63">
        <f t="shared" ref="K1092:K1094" si="486">ROUNDDOWN(H1092*1.33,0)</f>
        <v>67</v>
      </c>
      <c r="L1092" s="57">
        <f t="shared" ref="L1092:L1094" si="487">ROUNDDOWN(H1092*1.46,0)</f>
        <v>74</v>
      </c>
      <c r="M1092" s="57">
        <f t="shared" ref="M1092:M1094" si="488">ROUNDDOWN(H1092*1.6,0)</f>
        <v>81</v>
      </c>
      <c r="N1092" s="57">
        <f t="shared" ref="N1092:N1094" si="489">ROUNDDOWN(H1092*1.76,0)</f>
        <v>89</v>
      </c>
      <c r="O1092" s="57">
        <f t="shared" ref="O1092:O1094" si="490">ROUNDDOWN(H1092*1.93,0)</f>
        <v>98</v>
      </c>
      <c r="P1092" s="57">
        <f t="shared" ref="P1092:P1094" si="491">ROUNDDOWN(H1092*2.12,0)</f>
        <v>108</v>
      </c>
      <c r="Q1092" s="57"/>
    </row>
    <row r="1093">
      <c r="A1093" s="60" t="s">
        <v>24</v>
      </c>
      <c r="B1093" s="26"/>
      <c r="C1093" s="57"/>
      <c r="D1093" s="57"/>
      <c r="E1093" s="57"/>
      <c r="F1093" s="57"/>
      <c r="G1093" s="57"/>
      <c r="H1093" s="65">
        <v>68.0</v>
      </c>
      <c r="I1093" s="57">
        <f t="shared" si="484"/>
        <v>74</v>
      </c>
      <c r="J1093" s="57">
        <f t="shared" si="485"/>
        <v>82</v>
      </c>
      <c r="K1093" s="63">
        <f t="shared" si="486"/>
        <v>90</v>
      </c>
      <c r="L1093" s="57">
        <f t="shared" si="487"/>
        <v>99</v>
      </c>
      <c r="M1093" s="57">
        <f t="shared" si="488"/>
        <v>108</v>
      </c>
      <c r="N1093" s="57">
        <f t="shared" si="489"/>
        <v>119</v>
      </c>
      <c r="O1093" s="57">
        <f t="shared" si="490"/>
        <v>131</v>
      </c>
      <c r="P1093" s="57">
        <f t="shared" si="491"/>
        <v>144</v>
      </c>
      <c r="Q1093" s="57"/>
    </row>
    <row r="1094">
      <c r="A1094" s="60" t="s">
        <v>39</v>
      </c>
      <c r="B1094" s="26"/>
      <c r="C1094" s="57"/>
      <c r="D1094" s="57"/>
      <c r="E1094" s="57"/>
      <c r="F1094" s="57"/>
      <c r="G1094" s="57"/>
      <c r="H1094" s="65">
        <v>150.0</v>
      </c>
      <c r="I1094" s="57">
        <f t="shared" si="484"/>
        <v>165</v>
      </c>
      <c r="J1094" s="57">
        <f t="shared" si="485"/>
        <v>181</v>
      </c>
      <c r="K1094" s="63">
        <f t="shared" si="486"/>
        <v>199</v>
      </c>
      <c r="L1094" s="57">
        <f t="shared" si="487"/>
        <v>219</v>
      </c>
      <c r="M1094" s="57">
        <f t="shared" si="488"/>
        <v>240</v>
      </c>
      <c r="N1094" s="57">
        <f t="shared" si="489"/>
        <v>264</v>
      </c>
      <c r="O1094" s="57">
        <f t="shared" si="490"/>
        <v>289</v>
      </c>
      <c r="P1094" s="57">
        <f t="shared" si="491"/>
        <v>318</v>
      </c>
      <c r="Q1094" s="57"/>
    </row>
    <row r="1095">
      <c r="A1095" s="60" t="s">
        <v>428</v>
      </c>
      <c r="B1095" s="60" t="s">
        <v>429</v>
      </c>
      <c r="C1095" s="57"/>
      <c r="D1095" s="57"/>
      <c r="E1095" s="57"/>
      <c r="F1095" s="57"/>
      <c r="G1095" s="57"/>
      <c r="H1095" s="57"/>
      <c r="I1095" s="57"/>
      <c r="J1095" s="57"/>
      <c r="K1095" s="63"/>
      <c r="L1095" s="57"/>
      <c r="M1095" s="57"/>
      <c r="N1095" s="57"/>
      <c r="O1095" s="57"/>
      <c r="P1095" s="57"/>
      <c r="Q1095" s="57"/>
    </row>
    <row r="1096">
      <c r="A1096" s="60" t="s">
        <v>55</v>
      </c>
      <c r="B1096" s="60" t="s">
        <v>430</v>
      </c>
      <c r="C1096" s="57"/>
      <c r="D1096" s="57"/>
      <c r="E1096" s="57"/>
      <c r="F1096" s="57"/>
      <c r="G1096" s="57"/>
      <c r="H1096" s="57"/>
      <c r="I1096" s="57"/>
      <c r="J1096" s="57"/>
      <c r="K1096" s="63"/>
      <c r="L1096" s="57"/>
      <c r="M1096" s="57"/>
      <c r="N1096" s="57"/>
      <c r="O1096" s="57"/>
      <c r="P1096" s="57"/>
      <c r="Q1096" s="57"/>
    </row>
    <row r="1097">
      <c r="A1097" s="60" t="s">
        <v>51</v>
      </c>
      <c r="B1097" s="60" t="s">
        <v>431</v>
      </c>
      <c r="C1097" s="57"/>
      <c r="D1097" s="57"/>
      <c r="E1097" s="57"/>
      <c r="F1097" s="57"/>
      <c r="G1097" s="57"/>
      <c r="H1097" s="57"/>
      <c r="I1097" s="57"/>
      <c r="J1097" s="57"/>
      <c r="K1097" s="63"/>
      <c r="L1097" s="57"/>
      <c r="M1097" s="57"/>
      <c r="N1097" s="57"/>
      <c r="O1097" s="57"/>
      <c r="P1097" s="57"/>
      <c r="Q1097" s="57"/>
    </row>
    <row r="1098">
      <c r="A1098" s="60" t="s">
        <v>49</v>
      </c>
      <c r="B1098" s="60" t="s">
        <v>430</v>
      </c>
      <c r="C1098" s="57"/>
      <c r="D1098" s="57"/>
      <c r="E1098" s="57"/>
      <c r="F1098" s="57"/>
      <c r="G1098" s="57"/>
      <c r="H1098" s="57"/>
      <c r="I1098" s="57"/>
      <c r="J1098" s="57"/>
      <c r="K1098" s="63"/>
      <c r="L1098" s="57"/>
      <c r="M1098" s="57"/>
      <c r="N1098" s="57"/>
      <c r="O1098" s="57"/>
      <c r="P1098" s="57"/>
      <c r="Q1098" s="57"/>
    </row>
    <row r="1099">
      <c r="A1099" s="60" t="s">
        <v>432</v>
      </c>
      <c r="B1099" s="60" t="s">
        <v>645</v>
      </c>
      <c r="C1099" s="57"/>
      <c r="D1099" s="57"/>
      <c r="E1099" s="57"/>
      <c r="F1099" s="57"/>
      <c r="G1099" s="57"/>
      <c r="H1099" s="57"/>
      <c r="I1099" s="57"/>
      <c r="J1099" s="57"/>
      <c r="K1099" s="63"/>
      <c r="L1099" s="57"/>
      <c r="M1099" s="57"/>
      <c r="N1099" s="57"/>
      <c r="O1099" s="57"/>
      <c r="P1099" s="57"/>
      <c r="Q1099" s="57"/>
    </row>
    <row r="1100">
      <c r="A1100" s="60" t="s">
        <v>53</v>
      </c>
      <c r="B1100" s="60" t="s">
        <v>437</v>
      </c>
      <c r="C1100" s="57"/>
      <c r="D1100" s="57"/>
      <c r="E1100" s="57"/>
      <c r="F1100" s="57"/>
      <c r="G1100" s="57"/>
      <c r="H1100" s="57"/>
      <c r="I1100" s="57"/>
      <c r="J1100" s="57"/>
      <c r="K1100" s="63"/>
      <c r="L1100" s="57"/>
      <c r="M1100" s="57"/>
      <c r="N1100" s="57"/>
      <c r="O1100" s="57"/>
      <c r="P1100" s="57"/>
      <c r="Q1100" s="57"/>
    </row>
    <row r="1101">
      <c r="A1101" s="60" t="s">
        <v>50</v>
      </c>
      <c r="B1101" s="60" t="s">
        <v>98</v>
      </c>
      <c r="C1101" s="57"/>
      <c r="D1101" s="57"/>
      <c r="E1101" s="57"/>
      <c r="F1101" s="57"/>
      <c r="G1101" s="57"/>
      <c r="H1101" s="57"/>
      <c r="I1101" s="57"/>
      <c r="J1101" s="57"/>
      <c r="K1101" s="63"/>
      <c r="L1101" s="57"/>
      <c r="M1101" s="57"/>
      <c r="N1101" s="57"/>
      <c r="O1101" s="57"/>
      <c r="P1101" s="57"/>
      <c r="Q1101" s="57"/>
    </row>
    <row r="1102">
      <c r="A1102" s="60" t="s">
        <v>438</v>
      </c>
      <c r="B1102" s="60" t="s">
        <v>436</v>
      </c>
      <c r="C1102" s="57"/>
      <c r="D1102" s="57"/>
      <c r="E1102" s="57"/>
      <c r="F1102" s="57"/>
      <c r="G1102" s="57"/>
      <c r="H1102" s="57"/>
      <c r="I1102" s="57"/>
      <c r="J1102" s="57"/>
      <c r="K1102" s="63"/>
      <c r="L1102" s="57"/>
      <c r="M1102" s="57"/>
      <c r="N1102" s="57"/>
      <c r="O1102" s="57"/>
      <c r="P1102" s="57"/>
      <c r="Q1102" s="57"/>
    </row>
    <row r="1103">
      <c r="A1103" s="60" t="s">
        <v>439</v>
      </c>
      <c r="B1103" s="60" t="s">
        <v>440</v>
      </c>
      <c r="C1103" s="57"/>
      <c r="D1103" s="57"/>
      <c r="E1103" s="57"/>
      <c r="F1103" s="57"/>
      <c r="G1103" s="57"/>
      <c r="H1103" s="57"/>
      <c r="I1103" s="57"/>
      <c r="J1103" s="57"/>
      <c r="K1103" s="63"/>
      <c r="L1103" s="57"/>
      <c r="M1103" s="57"/>
      <c r="N1103" s="57"/>
      <c r="O1103" s="57"/>
      <c r="P1103" s="57"/>
      <c r="Q1103" s="57"/>
    </row>
    <row r="1104">
      <c r="A1104" s="60" t="s">
        <v>441</v>
      </c>
      <c r="B1104" s="60">
        <v>1.0</v>
      </c>
      <c r="C1104" s="57"/>
      <c r="D1104" s="57"/>
      <c r="E1104" s="57"/>
      <c r="F1104" s="57"/>
      <c r="G1104" s="57"/>
      <c r="H1104" s="57"/>
      <c r="I1104" s="57"/>
      <c r="J1104" s="57"/>
      <c r="K1104" s="63"/>
      <c r="L1104" s="57"/>
      <c r="M1104" s="57"/>
      <c r="N1104" s="57"/>
      <c r="O1104" s="57"/>
      <c r="P1104" s="57"/>
      <c r="Q1104" s="57"/>
    </row>
    <row r="1105">
      <c r="A1105" s="60" t="s">
        <v>467</v>
      </c>
      <c r="B1105" s="60" t="s">
        <v>464</v>
      </c>
      <c r="C1105" s="57"/>
      <c r="D1105" s="57"/>
      <c r="E1105" s="57"/>
      <c r="F1105" s="57"/>
      <c r="G1105" s="57"/>
      <c r="H1105" s="57"/>
      <c r="I1105" s="57"/>
      <c r="J1105" s="57"/>
      <c r="K1105" s="63"/>
      <c r="L1105" s="57"/>
      <c r="M1105" s="57"/>
      <c r="N1105" s="57"/>
      <c r="O1105" s="57"/>
      <c r="P1105" s="57"/>
      <c r="Q1105" s="57"/>
    </row>
    <row r="1106">
      <c r="A1106" s="60" t="s">
        <v>444</v>
      </c>
      <c r="B1106" s="60" t="s">
        <v>491</v>
      </c>
      <c r="C1106" s="57"/>
      <c r="D1106" s="57"/>
      <c r="E1106" s="57"/>
      <c r="F1106" s="57"/>
      <c r="G1106" s="57"/>
      <c r="H1106" s="57"/>
      <c r="I1106" s="57"/>
      <c r="J1106" s="57"/>
      <c r="K1106" s="63"/>
      <c r="L1106" s="57"/>
      <c r="M1106" s="57"/>
      <c r="N1106" s="57"/>
      <c r="O1106" s="57"/>
      <c r="P1106" s="57"/>
      <c r="Q1106" s="57"/>
    </row>
    <row r="1107">
      <c r="A1107" s="60" t="s">
        <v>446</v>
      </c>
      <c r="B1107" s="60" t="s">
        <v>491</v>
      </c>
      <c r="C1107" s="57"/>
      <c r="D1107" s="57"/>
      <c r="E1107" s="57"/>
      <c r="F1107" s="57"/>
      <c r="G1107" s="57"/>
      <c r="H1107" s="57"/>
      <c r="I1107" s="57"/>
      <c r="J1107" s="57"/>
      <c r="K1107" s="63"/>
      <c r="L1107" s="57"/>
      <c r="M1107" s="57"/>
      <c r="N1107" s="57"/>
      <c r="O1107" s="57"/>
      <c r="P1107" s="57"/>
      <c r="Q1107" s="57"/>
    </row>
    <row r="1108">
      <c r="A1108" s="60" t="s">
        <v>447</v>
      </c>
      <c r="B1108" s="60" t="s">
        <v>448</v>
      </c>
      <c r="C1108" s="57"/>
      <c r="D1108" s="57"/>
      <c r="E1108" s="57"/>
      <c r="F1108" s="57"/>
      <c r="G1108" s="57"/>
      <c r="H1108" s="57"/>
      <c r="I1108" s="57"/>
      <c r="J1108" s="57"/>
      <c r="K1108" s="63"/>
      <c r="L1108" s="57"/>
      <c r="M1108" s="57"/>
      <c r="N1108" s="57"/>
      <c r="O1108" s="57"/>
      <c r="P1108" s="57"/>
      <c r="Q1108" s="57"/>
    </row>
    <row r="1109">
      <c r="A1109" s="60" t="s">
        <v>57</v>
      </c>
      <c r="B1109" s="60">
        <v>3.0</v>
      </c>
      <c r="C1109" s="57"/>
      <c r="D1109" s="57"/>
      <c r="E1109" s="57"/>
      <c r="F1109" s="57"/>
      <c r="G1109" s="57"/>
      <c r="H1109" s="57"/>
      <c r="I1109" s="57"/>
      <c r="J1109" s="57"/>
      <c r="K1109" s="63"/>
      <c r="L1109" s="57"/>
      <c r="M1109" s="57"/>
      <c r="N1109" s="57"/>
      <c r="O1109" s="57"/>
      <c r="P1109" s="57"/>
      <c r="Q1109" s="57"/>
    </row>
    <row r="1110">
      <c r="A1110" s="60" t="s">
        <v>449</v>
      </c>
      <c r="B1110" s="60" t="s">
        <v>450</v>
      </c>
      <c r="C1110" s="57"/>
      <c r="D1110" s="57"/>
      <c r="E1110" s="57"/>
      <c r="F1110" s="57"/>
      <c r="G1110" s="57"/>
      <c r="H1110" s="57"/>
      <c r="I1110" s="57"/>
      <c r="J1110" s="57"/>
      <c r="K1110" s="63"/>
      <c r="L1110" s="57"/>
      <c r="M1110" s="57"/>
      <c r="N1110" s="57"/>
      <c r="O1110" s="57"/>
      <c r="P1110" s="57"/>
      <c r="Q1110" s="57"/>
    </row>
    <row r="1111">
      <c r="A1111" s="83" t="s">
        <v>215</v>
      </c>
      <c r="B1111" s="60" t="s">
        <v>550</v>
      </c>
      <c r="C1111" s="57"/>
      <c r="D1111" s="57"/>
      <c r="E1111" s="57"/>
      <c r="F1111" s="57"/>
      <c r="G1111" s="57"/>
      <c r="H1111" s="57"/>
      <c r="I1111" s="57"/>
      <c r="J1111" s="57"/>
      <c r="K1111" s="63"/>
      <c r="L1111" s="57"/>
      <c r="M1111" s="57"/>
      <c r="N1111" s="57"/>
      <c r="O1111" s="57"/>
      <c r="P1111" s="57"/>
      <c r="Q1111" s="57"/>
    </row>
    <row r="1112">
      <c r="A1112" s="60" t="s">
        <v>26</v>
      </c>
      <c r="B1112" s="60"/>
      <c r="C1112" s="57"/>
      <c r="D1112" s="57"/>
      <c r="E1112" s="57"/>
      <c r="F1112" s="57"/>
      <c r="G1112" s="57"/>
      <c r="H1112" s="57"/>
      <c r="I1112" s="57"/>
      <c r="J1112" s="57"/>
      <c r="K1112" s="66">
        <v>444.0</v>
      </c>
      <c r="L1112" s="57">
        <f t="shared" ref="L1112:L1115" si="492">ROUNDDOWN(K1112*1.1,0)</f>
        <v>488</v>
      </c>
      <c r="M1112" s="57">
        <f t="shared" ref="M1112:M1115" si="493">ROUNDDOWN(K1112*1.21,0)</f>
        <v>537</v>
      </c>
      <c r="N1112" s="57">
        <f t="shared" ref="N1112:N1115" si="494">ROUNDDOWN(K1112*1.33,0)</f>
        <v>590</v>
      </c>
      <c r="O1112" s="57">
        <f t="shared" ref="O1112:O1115" si="495">ROUNDDOWN(K1112*1.46,0)</f>
        <v>648</v>
      </c>
      <c r="P1112" s="57">
        <f t="shared" ref="P1112:P1115" si="496">ROUNDDOWN(K1112*1.57,0)</f>
        <v>697</v>
      </c>
      <c r="Q1112" s="57"/>
    </row>
    <row r="1113">
      <c r="A1113" s="60" t="s">
        <v>38</v>
      </c>
      <c r="B1113" s="60"/>
      <c r="C1113" s="57"/>
      <c r="D1113" s="57"/>
      <c r="E1113" s="57"/>
      <c r="F1113" s="57"/>
      <c r="G1113" s="57"/>
      <c r="H1113" s="57"/>
      <c r="I1113" s="57"/>
      <c r="J1113" s="57"/>
      <c r="K1113" s="66">
        <v>3300.0</v>
      </c>
      <c r="L1113" s="57">
        <f t="shared" si="492"/>
        <v>3630</v>
      </c>
      <c r="M1113" s="57">
        <f t="shared" si="493"/>
        <v>3993</v>
      </c>
      <c r="N1113" s="57">
        <f t="shared" si="494"/>
        <v>4389</v>
      </c>
      <c r="O1113" s="57">
        <f t="shared" si="495"/>
        <v>4818</v>
      </c>
      <c r="P1113" s="57">
        <f t="shared" si="496"/>
        <v>5181</v>
      </c>
      <c r="Q1113" s="57"/>
    </row>
    <row r="1114">
      <c r="A1114" s="60" t="s">
        <v>24</v>
      </c>
      <c r="B1114" s="60"/>
      <c r="C1114" s="57"/>
      <c r="D1114" s="57"/>
      <c r="E1114" s="57"/>
      <c r="F1114" s="57"/>
      <c r="G1114" s="57"/>
      <c r="H1114" s="57"/>
      <c r="I1114" s="57"/>
      <c r="J1114" s="57"/>
      <c r="K1114" s="66">
        <v>222.0</v>
      </c>
      <c r="L1114" s="57">
        <f t="shared" si="492"/>
        <v>244</v>
      </c>
      <c r="M1114" s="57">
        <f t="shared" si="493"/>
        <v>268</v>
      </c>
      <c r="N1114" s="57">
        <f t="shared" si="494"/>
        <v>295</v>
      </c>
      <c r="O1114" s="57">
        <f t="shared" si="495"/>
        <v>324</v>
      </c>
      <c r="P1114" s="57">
        <f t="shared" si="496"/>
        <v>348</v>
      </c>
      <c r="Q1114" s="57"/>
    </row>
    <row r="1115">
      <c r="A1115" s="60" t="s">
        <v>29</v>
      </c>
      <c r="B1115" s="60"/>
      <c r="C1115" s="57"/>
      <c r="D1115" s="57"/>
      <c r="E1115" s="57"/>
      <c r="F1115" s="57"/>
      <c r="G1115" s="57"/>
      <c r="H1115" s="57"/>
      <c r="I1115" s="57"/>
      <c r="J1115" s="57"/>
      <c r="K1115" s="66">
        <v>444.0</v>
      </c>
      <c r="L1115" s="57">
        <f t="shared" si="492"/>
        <v>488</v>
      </c>
      <c r="M1115" s="57">
        <f t="shared" si="493"/>
        <v>537</v>
      </c>
      <c r="N1115" s="57">
        <f t="shared" si="494"/>
        <v>590</v>
      </c>
      <c r="O1115" s="57">
        <f t="shared" si="495"/>
        <v>648</v>
      </c>
      <c r="P1115" s="57">
        <f t="shared" si="496"/>
        <v>697</v>
      </c>
      <c r="Q1115" s="57"/>
    </row>
    <row r="1116">
      <c r="A1116" s="60" t="s">
        <v>691</v>
      </c>
      <c r="B1116" s="60" t="s">
        <v>434</v>
      </c>
      <c r="C1116" s="57"/>
      <c r="D1116" s="57"/>
      <c r="E1116" s="57"/>
      <c r="F1116" s="57"/>
      <c r="G1116" s="57"/>
      <c r="H1116" s="57"/>
      <c r="I1116" s="57"/>
      <c r="J1116" s="57"/>
      <c r="K1116" s="63"/>
      <c r="L1116" s="57"/>
      <c r="M1116" s="57"/>
      <c r="N1116" s="57"/>
      <c r="O1116" s="57"/>
      <c r="P1116" s="57"/>
      <c r="Q1116" s="57"/>
    </row>
    <row r="1117">
      <c r="A1117" s="60" t="s">
        <v>692</v>
      </c>
      <c r="B1117" s="60" t="s">
        <v>505</v>
      </c>
      <c r="C1117" s="57"/>
      <c r="D1117" s="57"/>
      <c r="E1117" s="57"/>
      <c r="F1117" s="57"/>
      <c r="G1117" s="57"/>
      <c r="H1117" s="57"/>
      <c r="I1117" s="57"/>
      <c r="J1117" s="57"/>
      <c r="K1117" s="63"/>
      <c r="L1117" s="57"/>
      <c r="M1117" s="57"/>
      <c r="N1117" s="57"/>
      <c r="O1117" s="57"/>
      <c r="P1117" s="57"/>
      <c r="Q1117" s="57"/>
    </row>
    <row r="1118">
      <c r="A1118" s="60" t="s">
        <v>693</v>
      </c>
      <c r="B1118" s="60" t="s">
        <v>694</v>
      </c>
      <c r="C1118" s="57"/>
      <c r="D1118" s="57"/>
      <c r="E1118" s="57"/>
      <c r="F1118" s="57"/>
      <c r="G1118" s="57"/>
      <c r="H1118" s="57"/>
      <c r="I1118" s="57"/>
      <c r="J1118" s="57"/>
      <c r="K1118" s="63"/>
      <c r="L1118" s="57"/>
      <c r="M1118" s="57"/>
      <c r="N1118" s="57"/>
      <c r="O1118" s="57"/>
      <c r="P1118" s="57"/>
      <c r="Q1118" s="57"/>
    </row>
    <row r="1119">
      <c r="A1119" s="60" t="s">
        <v>695</v>
      </c>
      <c r="B1119" s="60" t="s">
        <v>98</v>
      </c>
      <c r="C1119" s="57"/>
      <c r="D1119" s="57"/>
      <c r="E1119" s="57"/>
      <c r="F1119" s="57"/>
      <c r="G1119" s="57"/>
      <c r="H1119" s="57"/>
      <c r="I1119" s="57"/>
      <c r="J1119" s="57"/>
      <c r="K1119" s="63"/>
      <c r="L1119" s="57"/>
      <c r="M1119" s="57"/>
      <c r="N1119" s="57"/>
      <c r="O1119" s="57"/>
      <c r="P1119" s="57"/>
      <c r="Q1119" s="57"/>
    </row>
    <row r="1120">
      <c r="A1120" s="60" t="s">
        <v>696</v>
      </c>
      <c r="B1120" s="60" t="s">
        <v>697</v>
      </c>
      <c r="C1120" s="57"/>
      <c r="D1120" s="57"/>
      <c r="E1120" s="57"/>
      <c r="F1120" s="57"/>
      <c r="G1120" s="57"/>
      <c r="H1120" s="57"/>
      <c r="I1120" s="57"/>
      <c r="J1120" s="57"/>
      <c r="K1120" s="63"/>
      <c r="L1120" s="57"/>
      <c r="M1120" s="57"/>
      <c r="N1120" s="57"/>
      <c r="O1120" s="57"/>
      <c r="P1120" s="57"/>
      <c r="Q1120" s="57"/>
    </row>
    <row r="1121">
      <c r="A1121" s="60" t="s">
        <v>428</v>
      </c>
      <c r="B1121" s="60" t="s">
        <v>429</v>
      </c>
      <c r="C1121" s="57"/>
      <c r="D1121" s="57"/>
      <c r="E1121" s="57"/>
      <c r="F1121" s="57"/>
      <c r="G1121" s="57"/>
      <c r="H1121" s="57"/>
      <c r="I1121" s="57"/>
      <c r="J1121" s="57"/>
      <c r="K1121" s="63"/>
      <c r="L1121" s="57"/>
      <c r="M1121" s="57"/>
      <c r="N1121" s="57"/>
      <c r="O1121" s="57"/>
      <c r="P1121" s="57"/>
      <c r="Q1121" s="57"/>
    </row>
    <row r="1122">
      <c r="A1122" s="60" t="s">
        <v>55</v>
      </c>
      <c r="B1122" s="60" t="s">
        <v>430</v>
      </c>
      <c r="C1122" s="57"/>
      <c r="D1122" s="57"/>
      <c r="E1122" s="57"/>
      <c r="F1122" s="57"/>
      <c r="G1122" s="57"/>
      <c r="H1122" s="57"/>
      <c r="I1122" s="57"/>
      <c r="J1122" s="57"/>
      <c r="K1122" s="63"/>
      <c r="L1122" s="57"/>
      <c r="M1122" s="57"/>
      <c r="N1122" s="57"/>
      <c r="O1122" s="57"/>
      <c r="P1122" s="57"/>
      <c r="Q1122" s="57"/>
    </row>
    <row r="1123">
      <c r="A1123" s="60" t="s">
        <v>51</v>
      </c>
      <c r="B1123" s="60" t="s">
        <v>451</v>
      </c>
      <c r="C1123" s="57"/>
      <c r="D1123" s="57"/>
      <c r="E1123" s="57"/>
      <c r="F1123" s="57"/>
      <c r="G1123" s="57"/>
      <c r="H1123" s="57"/>
      <c r="I1123" s="57"/>
      <c r="J1123" s="57"/>
      <c r="K1123" s="63"/>
      <c r="L1123" s="57"/>
      <c r="M1123" s="57"/>
      <c r="N1123" s="57"/>
      <c r="O1123" s="57"/>
      <c r="P1123" s="57"/>
      <c r="Q1123" s="57"/>
    </row>
    <row r="1124">
      <c r="A1124" s="60" t="s">
        <v>49</v>
      </c>
      <c r="B1124" s="60" t="s">
        <v>463</v>
      </c>
      <c r="C1124" s="57"/>
      <c r="D1124" s="57"/>
      <c r="E1124" s="57"/>
      <c r="F1124" s="57"/>
      <c r="G1124" s="57"/>
      <c r="H1124" s="57"/>
      <c r="I1124" s="57"/>
      <c r="J1124" s="57"/>
      <c r="K1124" s="63"/>
      <c r="L1124" s="57"/>
      <c r="M1124" s="57"/>
      <c r="N1124" s="57"/>
      <c r="O1124" s="57"/>
      <c r="P1124" s="57"/>
      <c r="Q1124" s="57"/>
    </row>
    <row r="1125">
      <c r="A1125" s="60" t="s">
        <v>432</v>
      </c>
      <c r="B1125" s="60" t="s">
        <v>452</v>
      </c>
      <c r="C1125" s="57"/>
      <c r="D1125" s="57"/>
      <c r="E1125" s="57"/>
      <c r="F1125" s="57"/>
      <c r="G1125" s="57"/>
      <c r="H1125" s="57"/>
      <c r="I1125" s="57"/>
      <c r="J1125" s="57"/>
      <c r="K1125" s="63"/>
      <c r="L1125" s="57"/>
      <c r="M1125" s="57"/>
      <c r="N1125" s="57"/>
      <c r="O1125" s="57"/>
      <c r="P1125" s="57"/>
      <c r="Q1125" s="57"/>
    </row>
    <row r="1126">
      <c r="A1126" s="60" t="s">
        <v>53</v>
      </c>
      <c r="B1126" s="60" t="s">
        <v>458</v>
      </c>
      <c r="C1126" s="57"/>
      <c r="D1126" s="57"/>
      <c r="E1126" s="57"/>
      <c r="F1126" s="57"/>
      <c r="G1126" s="57"/>
      <c r="H1126" s="57"/>
      <c r="I1126" s="57"/>
      <c r="J1126" s="57"/>
      <c r="K1126" s="63"/>
      <c r="L1126" s="57"/>
      <c r="M1126" s="57"/>
      <c r="N1126" s="57"/>
      <c r="O1126" s="57"/>
      <c r="P1126" s="57"/>
      <c r="Q1126" s="57"/>
    </row>
    <row r="1127">
      <c r="A1127" s="60" t="s">
        <v>50</v>
      </c>
      <c r="B1127" s="60" t="s">
        <v>98</v>
      </c>
      <c r="C1127" s="57"/>
      <c r="D1127" s="57"/>
      <c r="E1127" s="57"/>
      <c r="F1127" s="57"/>
      <c r="G1127" s="57"/>
      <c r="H1127" s="57"/>
      <c r="I1127" s="57"/>
      <c r="J1127" s="57"/>
      <c r="K1127" s="63"/>
      <c r="L1127" s="57"/>
      <c r="M1127" s="57"/>
      <c r="N1127" s="57"/>
      <c r="O1127" s="57"/>
      <c r="P1127" s="57"/>
      <c r="Q1127" s="57"/>
    </row>
    <row r="1128">
      <c r="A1128" s="60" t="s">
        <v>483</v>
      </c>
      <c r="B1128" s="60" t="s">
        <v>566</v>
      </c>
      <c r="C1128" s="57"/>
      <c r="D1128" s="57"/>
      <c r="E1128" s="57"/>
      <c r="F1128" s="57"/>
      <c r="G1128" s="57"/>
      <c r="H1128" s="57"/>
      <c r="I1128" s="57"/>
      <c r="J1128" s="57"/>
      <c r="K1128" s="63"/>
      <c r="L1128" s="57"/>
      <c r="M1128" s="57"/>
      <c r="N1128" s="57"/>
      <c r="O1128" s="57"/>
      <c r="P1128" s="57"/>
      <c r="Q1128" s="57"/>
    </row>
    <row r="1129">
      <c r="A1129" s="60" t="s">
        <v>438</v>
      </c>
      <c r="B1129" s="60" t="s">
        <v>472</v>
      </c>
      <c r="C1129" s="57"/>
      <c r="D1129" s="57"/>
      <c r="E1129" s="57"/>
      <c r="F1129" s="57"/>
      <c r="G1129" s="57"/>
      <c r="H1129" s="57"/>
      <c r="I1129" s="57"/>
      <c r="J1129" s="57"/>
      <c r="K1129" s="63"/>
      <c r="L1129" s="57"/>
      <c r="M1129" s="57"/>
      <c r="N1129" s="57"/>
      <c r="O1129" s="57"/>
      <c r="P1129" s="57"/>
      <c r="Q1129" s="57"/>
    </row>
    <row r="1130">
      <c r="A1130" s="60" t="s">
        <v>439</v>
      </c>
      <c r="B1130" s="60" t="s">
        <v>473</v>
      </c>
      <c r="C1130" s="57"/>
      <c r="D1130" s="57"/>
      <c r="E1130" s="57"/>
      <c r="F1130" s="57"/>
      <c r="G1130" s="57"/>
      <c r="H1130" s="57"/>
      <c r="I1130" s="57"/>
      <c r="J1130" s="57"/>
      <c r="K1130" s="63"/>
      <c r="L1130" s="57"/>
      <c r="M1130" s="57"/>
      <c r="N1130" s="57"/>
      <c r="O1130" s="57"/>
      <c r="P1130" s="57"/>
      <c r="Q1130" s="57"/>
    </row>
    <row r="1131">
      <c r="A1131" s="60" t="s">
        <v>441</v>
      </c>
      <c r="B1131" s="60">
        <v>18.0</v>
      </c>
      <c r="C1131" s="57"/>
      <c r="D1131" s="57"/>
      <c r="E1131" s="57"/>
      <c r="F1131" s="57"/>
      <c r="G1131" s="57"/>
      <c r="H1131" s="57"/>
      <c r="I1131" s="57"/>
      <c r="J1131" s="57"/>
      <c r="K1131" s="63"/>
      <c r="L1131" s="57"/>
      <c r="M1131" s="57"/>
      <c r="N1131" s="57"/>
      <c r="O1131" s="57"/>
      <c r="P1131" s="57"/>
      <c r="Q1131" s="57"/>
    </row>
    <row r="1132">
      <c r="A1132" s="60" t="s">
        <v>698</v>
      </c>
      <c r="B1132" s="60" t="s">
        <v>453</v>
      </c>
      <c r="C1132" s="57"/>
      <c r="D1132" s="57"/>
      <c r="E1132" s="57"/>
      <c r="F1132" s="57"/>
      <c r="G1132" s="57"/>
      <c r="H1132" s="57"/>
      <c r="I1132" s="57"/>
      <c r="J1132" s="57"/>
      <c r="K1132" s="63"/>
      <c r="L1132" s="57"/>
      <c r="M1132" s="57"/>
      <c r="N1132" s="57"/>
      <c r="O1132" s="57"/>
      <c r="P1132" s="57"/>
      <c r="Q1132" s="57"/>
    </row>
    <row r="1133">
      <c r="A1133" s="60" t="s">
        <v>514</v>
      </c>
      <c r="B1133" s="60" t="s">
        <v>498</v>
      </c>
      <c r="C1133" s="57"/>
      <c r="D1133" s="57"/>
      <c r="E1133" s="57"/>
      <c r="F1133" s="57"/>
      <c r="G1133" s="57"/>
      <c r="H1133" s="57"/>
      <c r="I1133" s="57"/>
      <c r="J1133" s="57"/>
      <c r="K1133" s="63"/>
      <c r="L1133" s="57"/>
      <c r="M1133" s="57"/>
      <c r="N1133" s="57"/>
      <c r="O1133" s="57"/>
      <c r="P1133" s="57"/>
      <c r="Q1133" s="57"/>
    </row>
    <row r="1134">
      <c r="A1134" s="60" t="s">
        <v>699</v>
      </c>
      <c r="B1134" s="60" t="s">
        <v>505</v>
      </c>
      <c r="C1134" s="57"/>
      <c r="D1134" s="57"/>
      <c r="E1134" s="57"/>
      <c r="F1134" s="57"/>
      <c r="G1134" s="57"/>
      <c r="H1134" s="57"/>
      <c r="I1134" s="57"/>
      <c r="J1134" s="57"/>
      <c r="K1134" s="63"/>
      <c r="L1134" s="57"/>
      <c r="M1134" s="57"/>
      <c r="N1134" s="57"/>
      <c r="O1134" s="57"/>
      <c r="P1134" s="57"/>
      <c r="Q1134" s="57"/>
    </row>
    <row r="1135">
      <c r="A1135" s="60" t="s">
        <v>700</v>
      </c>
      <c r="B1135" s="60" t="s">
        <v>694</v>
      </c>
      <c r="C1135" s="57"/>
      <c r="D1135" s="57"/>
      <c r="E1135" s="57"/>
      <c r="F1135" s="57"/>
      <c r="G1135" s="57"/>
      <c r="H1135" s="57"/>
      <c r="I1135" s="57"/>
      <c r="J1135" s="57"/>
      <c r="K1135" s="63"/>
      <c r="L1135" s="57"/>
      <c r="M1135" s="57"/>
      <c r="N1135" s="57"/>
      <c r="O1135" s="57"/>
      <c r="P1135" s="57"/>
      <c r="Q1135" s="57"/>
    </row>
    <row r="1136">
      <c r="A1136" s="60" t="s">
        <v>701</v>
      </c>
      <c r="B1136" s="60" t="s">
        <v>683</v>
      </c>
      <c r="C1136" s="57"/>
      <c r="D1136" s="57"/>
      <c r="E1136" s="57"/>
      <c r="F1136" s="57"/>
      <c r="G1136" s="57"/>
      <c r="H1136" s="57"/>
      <c r="I1136" s="57"/>
      <c r="J1136" s="57"/>
      <c r="K1136" s="63"/>
      <c r="L1136" s="57"/>
      <c r="M1136" s="57"/>
      <c r="N1136" s="57"/>
      <c r="O1136" s="57"/>
      <c r="P1136" s="57"/>
      <c r="Q1136" s="57"/>
    </row>
    <row r="1137">
      <c r="A1137" s="60" t="s">
        <v>702</v>
      </c>
      <c r="B1137" s="60" t="s">
        <v>466</v>
      </c>
      <c r="C1137" s="57"/>
      <c r="D1137" s="57"/>
      <c r="E1137" s="57"/>
      <c r="F1137" s="57"/>
      <c r="G1137" s="57"/>
      <c r="H1137" s="57"/>
      <c r="I1137" s="57"/>
      <c r="J1137" s="57"/>
      <c r="K1137" s="63"/>
      <c r="L1137" s="57"/>
      <c r="M1137" s="57"/>
      <c r="N1137" s="57"/>
      <c r="O1137" s="57"/>
      <c r="P1137" s="57"/>
      <c r="Q1137" s="57"/>
    </row>
    <row r="1138">
      <c r="A1138" s="60" t="s">
        <v>703</v>
      </c>
      <c r="B1138" s="60" t="s">
        <v>499</v>
      </c>
      <c r="C1138" s="57"/>
      <c r="D1138" s="57"/>
      <c r="E1138" s="57"/>
      <c r="F1138" s="57"/>
      <c r="G1138" s="57"/>
      <c r="H1138" s="57"/>
      <c r="I1138" s="57"/>
      <c r="J1138" s="57"/>
      <c r="K1138" s="63"/>
      <c r="L1138" s="57"/>
      <c r="M1138" s="57"/>
      <c r="N1138" s="57"/>
      <c r="O1138" s="57"/>
      <c r="P1138" s="57"/>
      <c r="Q1138" s="57"/>
    </row>
    <row r="1139">
      <c r="A1139" s="60" t="s">
        <v>704</v>
      </c>
      <c r="B1139" s="60" t="s">
        <v>456</v>
      </c>
      <c r="C1139" s="57"/>
      <c r="D1139" s="57"/>
      <c r="E1139" s="57"/>
      <c r="F1139" s="57"/>
      <c r="G1139" s="57"/>
      <c r="H1139" s="57"/>
      <c r="I1139" s="57"/>
      <c r="J1139" s="57"/>
      <c r="K1139" s="63"/>
      <c r="L1139" s="57"/>
      <c r="M1139" s="57"/>
      <c r="N1139" s="57"/>
      <c r="O1139" s="57"/>
      <c r="P1139" s="57"/>
      <c r="Q1139" s="57"/>
    </row>
    <row r="1140">
      <c r="A1140" s="60" t="s">
        <v>515</v>
      </c>
      <c r="B1140" s="60" t="s">
        <v>705</v>
      </c>
      <c r="C1140" s="57"/>
      <c r="D1140" s="57"/>
      <c r="E1140" s="57"/>
      <c r="F1140" s="57"/>
      <c r="G1140" s="57"/>
      <c r="H1140" s="57"/>
      <c r="I1140" s="57"/>
      <c r="J1140" s="57"/>
      <c r="K1140" s="63"/>
      <c r="L1140" s="57"/>
      <c r="M1140" s="57"/>
      <c r="N1140" s="57"/>
      <c r="O1140" s="57"/>
      <c r="P1140" s="57"/>
      <c r="Q1140" s="57"/>
    </row>
    <row r="1141">
      <c r="A1141" s="60" t="s">
        <v>706</v>
      </c>
      <c r="B1141" s="60" t="s">
        <v>505</v>
      </c>
      <c r="C1141" s="57"/>
      <c r="D1141" s="57"/>
      <c r="E1141" s="57"/>
      <c r="F1141" s="57"/>
      <c r="G1141" s="57"/>
      <c r="H1141" s="57"/>
      <c r="I1141" s="57"/>
      <c r="J1141" s="57"/>
      <c r="K1141" s="63"/>
      <c r="L1141" s="57"/>
      <c r="M1141" s="57"/>
      <c r="N1141" s="57"/>
      <c r="O1141" s="57"/>
      <c r="P1141" s="57"/>
      <c r="Q1141" s="57"/>
    </row>
    <row r="1142">
      <c r="A1142" s="83" t="s">
        <v>192</v>
      </c>
      <c r="B1142" s="60" t="s">
        <v>416</v>
      </c>
      <c r="C1142" s="57"/>
      <c r="D1142" s="57"/>
      <c r="E1142" s="57"/>
      <c r="F1142" s="57"/>
      <c r="G1142" s="57"/>
      <c r="H1142" s="57"/>
      <c r="I1142" s="57"/>
      <c r="J1142" s="57"/>
      <c r="K1142" s="63"/>
      <c r="L1142" s="57"/>
      <c r="M1142" s="57"/>
      <c r="N1142" s="57"/>
      <c r="O1142" s="57"/>
      <c r="P1142" s="57"/>
      <c r="Q1142" s="57"/>
    </row>
    <row r="1143">
      <c r="A1143" s="60" t="s">
        <v>38</v>
      </c>
      <c r="B1143" s="26"/>
      <c r="C1143" s="57"/>
      <c r="D1143" s="57"/>
      <c r="E1143" s="57"/>
      <c r="F1143" s="57"/>
      <c r="G1143" s="57"/>
      <c r="H1143" s="57"/>
      <c r="I1143" s="57"/>
      <c r="J1143" s="57"/>
      <c r="K1143" s="66">
        <v>216.0</v>
      </c>
      <c r="L1143" s="57">
        <f t="shared" ref="L1143:L1144" si="497">ROUNDDOWN(K1143*1.1,0)</f>
        <v>237</v>
      </c>
      <c r="M1143" s="57">
        <f t="shared" ref="M1143:M1144" si="498">ROUNDDOWN(K1143*1.21,0)</f>
        <v>261</v>
      </c>
      <c r="N1143" s="57">
        <f t="shared" ref="N1143:N1144" si="499">ROUNDDOWN(K1143*1.33,0)</f>
        <v>287</v>
      </c>
      <c r="O1143" s="57">
        <f t="shared" ref="O1143:O1144" si="500">ROUNDDOWN(K1143*1.46,0)</f>
        <v>315</v>
      </c>
      <c r="P1143" s="57">
        <f t="shared" ref="P1143:P1144" si="501">ROUNDDOWN(K1143*1.57,0)</f>
        <v>339</v>
      </c>
      <c r="Q1143" s="57"/>
    </row>
    <row r="1144">
      <c r="A1144" s="60" t="s">
        <v>24</v>
      </c>
      <c r="B1144" s="26"/>
      <c r="C1144" s="57"/>
      <c r="D1144" s="57"/>
      <c r="E1144" s="57"/>
      <c r="F1144" s="57"/>
      <c r="G1144" s="57"/>
      <c r="H1144" s="57"/>
      <c r="I1144" s="57"/>
      <c r="J1144" s="57"/>
      <c r="K1144" s="66">
        <v>140.0</v>
      </c>
      <c r="L1144" s="57">
        <f t="shared" si="497"/>
        <v>154</v>
      </c>
      <c r="M1144" s="57">
        <f t="shared" si="498"/>
        <v>169</v>
      </c>
      <c r="N1144" s="57">
        <f t="shared" si="499"/>
        <v>186</v>
      </c>
      <c r="O1144" s="57">
        <f t="shared" si="500"/>
        <v>204</v>
      </c>
      <c r="P1144" s="57">
        <f t="shared" si="501"/>
        <v>219</v>
      </c>
      <c r="Q1144" s="57"/>
    </row>
    <row r="1145">
      <c r="A1145" s="60" t="s">
        <v>428</v>
      </c>
      <c r="B1145" s="60" t="s">
        <v>512</v>
      </c>
      <c r="C1145" s="57"/>
      <c r="D1145" s="57"/>
      <c r="E1145" s="57"/>
      <c r="F1145" s="57"/>
      <c r="G1145" s="57"/>
      <c r="H1145" s="57"/>
      <c r="I1145" s="57"/>
      <c r="J1145" s="57"/>
      <c r="K1145" s="63"/>
      <c r="L1145" s="57"/>
      <c r="M1145" s="57"/>
      <c r="N1145" s="57"/>
      <c r="O1145" s="57"/>
      <c r="P1145" s="57"/>
      <c r="Q1145" s="57"/>
    </row>
    <row r="1146">
      <c r="A1146" s="60" t="s">
        <v>55</v>
      </c>
      <c r="B1146" s="60" t="s">
        <v>430</v>
      </c>
      <c r="C1146" s="57"/>
      <c r="D1146" s="57"/>
      <c r="E1146" s="57"/>
      <c r="F1146" s="57"/>
      <c r="G1146" s="57"/>
      <c r="H1146" s="57"/>
      <c r="I1146" s="57"/>
      <c r="J1146" s="57"/>
      <c r="K1146" s="63"/>
      <c r="L1146" s="57"/>
      <c r="M1146" s="57"/>
      <c r="N1146" s="57"/>
      <c r="O1146" s="57"/>
      <c r="P1146" s="57"/>
      <c r="Q1146" s="57"/>
    </row>
    <row r="1147">
      <c r="A1147" s="60" t="s">
        <v>51</v>
      </c>
      <c r="B1147" s="60" t="s">
        <v>451</v>
      </c>
      <c r="C1147" s="57"/>
      <c r="D1147" s="57"/>
      <c r="E1147" s="57"/>
      <c r="F1147" s="57"/>
      <c r="G1147" s="57"/>
      <c r="H1147" s="57"/>
      <c r="I1147" s="57"/>
      <c r="J1147" s="57"/>
      <c r="K1147" s="63"/>
      <c r="L1147" s="57"/>
      <c r="M1147" s="57"/>
      <c r="N1147" s="57"/>
      <c r="O1147" s="57"/>
      <c r="P1147" s="57"/>
      <c r="Q1147" s="57"/>
    </row>
    <row r="1148">
      <c r="A1148" s="60" t="s">
        <v>49</v>
      </c>
      <c r="B1148" s="60" t="s">
        <v>541</v>
      </c>
      <c r="C1148" s="57"/>
      <c r="D1148" s="57"/>
      <c r="E1148" s="57"/>
      <c r="F1148" s="57"/>
      <c r="G1148" s="57"/>
      <c r="H1148" s="57"/>
      <c r="I1148" s="57"/>
      <c r="J1148" s="57"/>
      <c r="K1148" s="63"/>
      <c r="L1148" s="57"/>
      <c r="M1148" s="57"/>
      <c r="N1148" s="57"/>
      <c r="O1148" s="57"/>
      <c r="P1148" s="57"/>
      <c r="Q1148" s="57"/>
    </row>
    <row r="1149">
      <c r="A1149" s="60" t="s">
        <v>432</v>
      </c>
      <c r="B1149" s="60" t="s">
        <v>574</v>
      </c>
      <c r="C1149" s="57"/>
      <c r="D1149" s="57"/>
      <c r="E1149" s="57"/>
      <c r="F1149" s="57"/>
      <c r="G1149" s="57"/>
      <c r="H1149" s="57"/>
      <c r="I1149" s="57"/>
      <c r="J1149" s="57"/>
      <c r="K1149" s="63"/>
      <c r="L1149" s="57"/>
      <c r="M1149" s="57"/>
      <c r="N1149" s="57"/>
      <c r="O1149" s="57"/>
      <c r="P1149" s="57"/>
      <c r="Q1149" s="57"/>
    </row>
    <row r="1150">
      <c r="A1150" s="60" t="s">
        <v>422</v>
      </c>
      <c r="B1150" s="60" t="s">
        <v>454</v>
      </c>
      <c r="C1150" s="57"/>
      <c r="D1150" s="57"/>
      <c r="E1150" s="57"/>
      <c r="F1150" s="57"/>
      <c r="G1150" s="57"/>
      <c r="H1150" s="57"/>
      <c r="I1150" s="57"/>
      <c r="J1150" s="57"/>
      <c r="K1150" s="63"/>
      <c r="L1150" s="57"/>
      <c r="M1150" s="57"/>
      <c r="N1150" s="57"/>
      <c r="O1150" s="57"/>
      <c r="P1150" s="57"/>
      <c r="Q1150" s="57"/>
    </row>
    <row r="1151">
      <c r="A1151" s="60" t="s">
        <v>435</v>
      </c>
      <c r="B1151" s="60" t="s">
        <v>472</v>
      </c>
      <c r="C1151" s="57"/>
      <c r="D1151" s="57"/>
      <c r="E1151" s="57"/>
      <c r="F1151" s="57"/>
      <c r="G1151" s="57"/>
      <c r="H1151" s="57"/>
      <c r="I1151" s="57"/>
      <c r="J1151" s="57"/>
      <c r="K1151" s="63"/>
      <c r="L1151" s="57"/>
      <c r="M1151" s="57"/>
      <c r="N1151" s="57"/>
      <c r="O1151" s="57"/>
      <c r="P1151" s="57"/>
      <c r="Q1151" s="57"/>
    </row>
    <row r="1152">
      <c r="A1152" s="60" t="s">
        <v>483</v>
      </c>
      <c r="B1152" s="60" t="s">
        <v>478</v>
      </c>
      <c r="C1152" s="57"/>
      <c r="D1152" s="57"/>
      <c r="E1152" s="57"/>
      <c r="F1152" s="57"/>
      <c r="G1152" s="57"/>
      <c r="H1152" s="57"/>
      <c r="I1152" s="57"/>
      <c r="J1152" s="57"/>
      <c r="K1152" s="63"/>
      <c r="L1152" s="57"/>
      <c r="M1152" s="57"/>
      <c r="N1152" s="57"/>
      <c r="O1152" s="57"/>
      <c r="P1152" s="57"/>
      <c r="Q1152" s="57"/>
    </row>
    <row r="1153">
      <c r="A1153" s="60" t="s">
        <v>426</v>
      </c>
      <c r="B1153" s="60" t="s">
        <v>707</v>
      </c>
      <c r="C1153" s="57"/>
      <c r="D1153" s="57"/>
      <c r="E1153" s="57"/>
      <c r="F1153" s="57"/>
      <c r="G1153" s="57"/>
      <c r="H1153" s="57"/>
      <c r="I1153" s="57"/>
      <c r="J1153" s="57"/>
      <c r="K1153" s="63"/>
      <c r="L1153" s="57"/>
      <c r="M1153" s="57"/>
      <c r="N1153" s="57"/>
      <c r="O1153" s="57"/>
      <c r="P1153" s="57"/>
      <c r="Q1153" s="57"/>
    </row>
    <row r="1154">
      <c r="A1154" s="60" t="s">
        <v>53</v>
      </c>
      <c r="B1154" s="60" t="s">
        <v>708</v>
      </c>
      <c r="C1154" s="57"/>
      <c r="D1154" s="57"/>
      <c r="E1154" s="57"/>
      <c r="F1154" s="57"/>
      <c r="G1154" s="57"/>
      <c r="H1154" s="57"/>
      <c r="I1154" s="57"/>
      <c r="J1154" s="57"/>
      <c r="K1154" s="63"/>
      <c r="L1154" s="57"/>
      <c r="M1154" s="57"/>
      <c r="N1154" s="57"/>
      <c r="O1154" s="57"/>
      <c r="P1154" s="57"/>
      <c r="Q1154" s="57"/>
    </row>
    <row r="1155">
      <c r="A1155" s="60" t="s">
        <v>50</v>
      </c>
      <c r="B1155" s="60" t="s">
        <v>425</v>
      </c>
      <c r="C1155" s="57"/>
      <c r="D1155" s="57"/>
      <c r="E1155" s="57"/>
      <c r="F1155" s="57"/>
      <c r="G1155" s="57"/>
      <c r="H1155" s="57"/>
      <c r="I1155" s="57"/>
      <c r="J1155" s="57"/>
      <c r="K1155" s="63"/>
      <c r="L1155" s="57"/>
      <c r="M1155" s="57"/>
      <c r="N1155" s="57"/>
      <c r="O1155" s="57"/>
      <c r="P1155" s="57"/>
      <c r="Q1155" s="57"/>
    </row>
    <row r="1156">
      <c r="A1156" s="60" t="s">
        <v>438</v>
      </c>
      <c r="B1156" s="60" t="s">
        <v>436</v>
      </c>
      <c r="C1156" s="57"/>
      <c r="D1156" s="57"/>
      <c r="E1156" s="57"/>
      <c r="F1156" s="57"/>
      <c r="G1156" s="57"/>
      <c r="H1156" s="57"/>
      <c r="I1156" s="57"/>
      <c r="J1156" s="57"/>
      <c r="K1156" s="63"/>
      <c r="L1156" s="57"/>
      <c r="M1156" s="57"/>
      <c r="N1156" s="57"/>
      <c r="O1156" s="57"/>
      <c r="P1156" s="57"/>
      <c r="Q1156" s="57"/>
    </row>
    <row r="1157">
      <c r="A1157" s="60" t="s">
        <v>439</v>
      </c>
      <c r="B1157" s="60" t="s">
        <v>440</v>
      </c>
      <c r="C1157" s="57"/>
      <c r="D1157" s="57"/>
      <c r="E1157" s="57"/>
      <c r="F1157" s="57"/>
      <c r="G1157" s="57"/>
      <c r="H1157" s="57"/>
      <c r="I1157" s="57"/>
      <c r="J1157" s="57"/>
      <c r="K1157" s="63"/>
      <c r="L1157" s="57"/>
      <c r="M1157" s="57"/>
      <c r="N1157" s="57"/>
      <c r="O1157" s="57"/>
      <c r="P1157" s="57"/>
      <c r="Q1157" s="57"/>
    </row>
    <row r="1158">
      <c r="A1158" s="60" t="s">
        <v>441</v>
      </c>
      <c r="B1158" s="60">
        <v>3.0</v>
      </c>
      <c r="C1158" s="57"/>
      <c r="D1158" s="57"/>
      <c r="E1158" s="57"/>
      <c r="F1158" s="57"/>
      <c r="G1158" s="57"/>
      <c r="H1158" s="57"/>
      <c r="I1158" s="57"/>
      <c r="J1158" s="57"/>
      <c r="K1158" s="63"/>
      <c r="L1158" s="57"/>
      <c r="M1158" s="57"/>
      <c r="N1158" s="57"/>
      <c r="O1158" s="57"/>
      <c r="P1158" s="57"/>
      <c r="Q1158" s="57"/>
    </row>
    <row r="1159">
      <c r="A1159" s="60" t="s">
        <v>444</v>
      </c>
      <c r="B1159" s="60" t="s">
        <v>445</v>
      </c>
      <c r="C1159" s="57"/>
      <c r="D1159" s="57"/>
      <c r="E1159" s="57"/>
      <c r="F1159" s="57"/>
      <c r="G1159" s="57"/>
      <c r="H1159" s="57"/>
      <c r="I1159" s="57"/>
      <c r="J1159" s="57"/>
      <c r="K1159" s="63"/>
      <c r="L1159" s="57"/>
      <c r="M1159" s="57"/>
      <c r="N1159" s="57"/>
      <c r="O1159" s="57"/>
      <c r="P1159" s="57"/>
      <c r="Q1159" s="57"/>
    </row>
    <row r="1160">
      <c r="A1160" s="60" t="s">
        <v>446</v>
      </c>
      <c r="B1160" s="60" t="s">
        <v>445</v>
      </c>
      <c r="C1160" s="57"/>
      <c r="D1160" s="57"/>
      <c r="E1160" s="57"/>
      <c r="F1160" s="57"/>
      <c r="G1160" s="57"/>
      <c r="H1160" s="57"/>
      <c r="I1160" s="57"/>
      <c r="J1160" s="57"/>
      <c r="K1160" s="63"/>
      <c r="L1160" s="57"/>
      <c r="M1160" s="57"/>
      <c r="N1160" s="57"/>
      <c r="O1160" s="57"/>
      <c r="P1160" s="57"/>
      <c r="Q1160" s="57"/>
    </row>
    <row r="1161">
      <c r="A1161" s="60" t="s">
        <v>447</v>
      </c>
      <c r="B1161" s="60" t="s">
        <v>448</v>
      </c>
      <c r="C1161" s="57"/>
      <c r="D1161" s="57"/>
      <c r="E1161" s="57"/>
      <c r="F1161" s="57"/>
      <c r="G1161" s="57"/>
      <c r="H1161" s="57"/>
      <c r="I1161" s="57"/>
      <c r="J1161" s="57"/>
      <c r="K1161" s="63"/>
      <c r="L1161" s="57"/>
      <c r="M1161" s="57"/>
      <c r="N1161" s="57"/>
      <c r="O1161" s="57"/>
      <c r="P1161" s="57"/>
      <c r="Q1161" s="57"/>
    </row>
    <row r="1162">
      <c r="A1162" s="67" t="s">
        <v>219</v>
      </c>
      <c r="B1162" s="60" t="s">
        <v>480</v>
      </c>
      <c r="C1162" s="57"/>
      <c r="D1162" s="57"/>
      <c r="E1162" s="57"/>
      <c r="F1162" s="57"/>
      <c r="G1162" s="57"/>
      <c r="H1162" s="57"/>
      <c r="I1162" s="57"/>
      <c r="J1162" s="57"/>
      <c r="K1162" s="63"/>
      <c r="L1162" s="57"/>
      <c r="M1162" s="57"/>
      <c r="N1162" s="57"/>
      <c r="O1162" s="57"/>
      <c r="P1162" s="57"/>
      <c r="Q1162" s="57"/>
    </row>
    <row r="1163">
      <c r="A1163" s="60" t="s">
        <v>24</v>
      </c>
      <c r="B1163" s="60"/>
      <c r="C1163" s="65">
        <v>75.0</v>
      </c>
      <c r="D1163" s="57">
        <f>ROUNDDOWN(C1163*1.1,0)</f>
        <v>82</v>
      </c>
      <c r="E1163" s="57">
        <f>ROUNDDOWN(C1163*1.21,0)</f>
        <v>90</v>
      </c>
      <c r="F1163" s="57">
        <f>ROUNDDOWN(C1163*1.33,0)</f>
        <v>99</v>
      </c>
      <c r="G1163" s="57">
        <f>ROUNDDOWN(C1163*1.46,0)</f>
        <v>109</v>
      </c>
      <c r="H1163" s="57">
        <f>ROUNDDOWN(C1163*1.6,0)</f>
        <v>120</v>
      </c>
      <c r="I1163" s="57">
        <f>ROUNDDOWN(C1163*1.76,0)</f>
        <v>132</v>
      </c>
      <c r="J1163" s="57">
        <f>ROUNDDOWN(C1163*1.93,0)</f>
        <v>144</v>
      </c>
      <c r="K1163" s="63">
        <f>ROUNDDOWN(C1163*2.12,0)</f>
        <v>159</v>
      </c>
      <c r="L1163" s="57">
        <f>ROUNDDOWN(C1163*2.33,0)</f>
        <v>174</v>
      </c>
      <c r="M1163" s="57">
        <f>ROUNDDOWN(C1163*2.56,0)</f>
        <v>192</v>
      </c>
      <c r="N1163" s="57">
        <f>ROUNDDOWN(C1163*2.81,0)</f>
        <v>210</v>
      </c>
      <c r="O1163" s="57">
        <f>ROUNDDOWN(C1163*3.09,0)</f>
        <v>231</v>
      </c>
      <c r="P1163" s="57">
        <f>ROUNDDOWN(C1163*3.39,0)</f>
        <v>254</v>
      </c>
      <c r="Q1163" s="57"/>
    </row>
    <row r="1164">
      <c r="A1164" s="60" t="s">
        <v>31</v>
      </c>
      <c r="B1164" s="60"/>
      <c r="C1164" s="65">
        <f t="shared" ref="C1164:P1164" si="502">ROUNDUP(C1163*0.3,0)</f>
        <v>23</v>
      </c>
      <c r="D1164" s="65">
        <f t="shared" si="502"/>
        <v>25</v>
      </c>
      <c r="E1164" s="65">
        <f t="shared" si="502"/>
        <v>27</v>
      </c>
      <c r="F1164" s="65">
        <f t="shared" si="502"/>
        <v>30</v>
      </c>
      <c r="G1164" s="65">
        <f t="shared" si="502"/>
        <v>33</v>
      </c>
      <c r="H1164" s="65">
        <f t="shared" si="502"/>
        <v>36</v>
      </c>
      <c r="I1164" s="65">
        <f t="shared" si="502"/>
        <v>40</v>
      </c>
      <c r="J1164" s="65">
        <f t="shared" si="502"/>
        <v>44</v>
      </c>
      <c r="K1164" s="66">
        <f t="shared" si="502"/>
        <v>48</v>
      </c>
      <c r="L1164" s="65">
        <f t="shared" si="502"/>
        <v>53</v>
      </c>
      <c r="M1164" s="65">
        <f t="shared" si="502"/>
        <v>58</v>
      </c>
      <c r="N1164" s="65">
        <f t="shared" si="502"/>
        <v>63</v>
      </c>
      <c r="O1164" s="65">
        <f t="shared" si="502"/>
        <v>70</v>
      </c>
      <c r="P1164" s="65">
        <f t="shared" si="502"/>
        <v>77</v>
      </c>
      <c r="Q1164" s="57"/>
    </row>
    <row r="1165">
      <c r="A1165" s="60" t="s">
        <v>422</v>
      </c>
      <c r="B1165" s="60" t="s">
        <v>672</v>
      </c>
      <c r="C1165" s="57"/>
      <c r="D1165" s="57"/>
      <c r="E1165" s="57"/>
      <c r="F1165" s="57"/>
      <c r="G1165" s="57"/>
      <c r="H1165" s="57"/>
      <c r="I1165" s="57"/>
      <c r="J1165" s="57"/>
      <c r="K1165" s="63"/>
      <c r="L1165" s="57"/>
      <c r="M1165" s="57"/>
      <c r="N1165" s="57"/>
      <c r="O1165" s="57"/>
      <c r="P1165" s="57"/>
      <c r="Q1165" s="57"/>
    </row>
    <row r="1166">
      <c r="A1166" s="60" t="s">
        <v>460</v>
      </c>
      <c r="B1166" s="60" t="s">
        <v>443</v>
      </c>
      <c r="C1166" s="57"/>
      <c r="D1166" s="57"/>
      <c r="E1166" s="57"/>
      <c r="F1166" s="57"/>
      <c r="G1166" s="57"/>
      <c r="H1166" s="57"/>
      <c r="I1166" s="57"/>
      <c r="J1166" s="57"/>
      <c r="K1166" s="63"/>
      <c r="L1166" s="57"/>
      <c r="M1166" s="57"/>
      <c r="N1166" s="57"/>
      <c r="O1166" s="57"/>
      <c r="P1166" s="57"/>
      <c r="Q1166" s="57"/>
    </row>
    <row r="1167">
      <c r="A1167" s="60" t="s">
        <v>80</v>
      </c>
      <c r="B1167" s="60" t="s">
        <v>462</v>
      </c>
      <c r="C1167" s="57"/>
      <c r="D1167" s="57"/>
      <c r="E1167" s="57"/>
      <c r="F1167" s="57"/>
      <c r="G1167" s="57"/>
      <c r="H1167" s="57"/>
      <c r="I1167" s="57"/>
      <c r="J1167" s="57"/>
      <c r="K1167" s="63"/>
      <c r="L1167" s="57"/>
      <c r="M1167" s="57"/>
      <c r="N1167" s="57"/>
      <c r="O1167" s="57"/>
      <c r="P1167" s="57"/>
      <c r="Q1167" s="57"/>
    </row>
    <row r="1168">
      <c r="A1168" s="60" t="s">
        <v>50</v>
      </c>
      <c r="B1168" s="60" t="s">
        <v>425</v>
      </c>
      <c r="C1168" s="57"/>
      <c r="D1168" s="57"/>
      <c r="E1168" s="57"/>
      <c r="F1168" s="57"/>
      <c r="G1168" s="57"/>
      <c r="H1168" s="57"/>
      <c r="I1168" s="57"/>
      <c r="J1168" s="57"/>
      <c r="K1168" s="63"/>
      <c r="L1168" s="57"/>
      <c r="M1168" s="57"/>
      <c r="N1168" s="57"/>
      <c r="O1168" s="57"/>
      <c r="P1168" s="57"/>
      <c r="Q1168" s="57"/>
    </row>
    <row r="1169">
      <c r="A1169" s="60" t="s">
        <v>426</v>
      </c>
      <c r="B1169" s="60" t="s">
        <v>427</v>
      </c>
      <c r="C1169" s="57"/>
      <c r="D1169" s="57"/>
      <c r="E1169" s="57"/>
      <c r="F1169" s="57"/>
      <c r="G1169" s="57"/>
      <c r="H1169" s="57"/>
      <c r="I1169" s="57"/>
      <c r="J1169" s="57"/>
      <c r="K1169" s="63"/>
      <c r="L1169" s="57"/>
      <c r="M1169" s="57"/>
      <c r="N1169" s="57"/>
      <c r="O1169" s="57"/>
      <c r="P1169" s="57"/>
      <c r="Q1169" s="57"/>
    </row>
    <row r="1170">
      <c r="A1170" s="60" t="s">
        <v>597</v>
      </c>
      <c r="B1170" s="82">
        <v>-0.35</v>
      </c>
      <c r="C1170" s="57"/>
      <c r="D1170" s="57"/>
      <c r="E1170" s="57"/>
      <c r="F1170" s="57"/>
      <c r="G1170" s="57"/>
      <c r="H1170" s="57"/>
      <c r="I1170" s="57"/>
      <c r="J1170" s="57"/>
      <c r="K1170" s="63"/>
      <c r="L1170" s="57"/>
      <c r="M1170" s="57"/>
      <c r="N1170" s="57"/>
      <c r="O1170" s="57"/>
      <c r="P1170" s="57"/>
      <c r="Q1170" s="57"/>
    </row>
    <row r="1171">
      <c r="A1171" s="60" t="s">
        <v>65</v>
      </c>
      <c r="B1171" s="60" t="s">
        <v>574</v>
      </c>
      <c r="C1171" s="57"/>
      <c r="D1171" s="57"/>
      <c r="E1171" s="57"/>
      <c r="F1171" s="57"/>
      <c r="G1171" s="57"/>
      <c r="H1171" s="57"/>
      <c r="I1171" s="57"/>
      <c r="J1171" s="57"/>
      <c r="K1171" s="63"/>
      <c r="L1171" s="57"/>
      <c r="M1171" s="57"/>
      <c r="N1171" s="57"/>
      <c r="O1171" s="57"/>
      <c r="P1171" s="57"/>
      <c r="Q1171" s="57"/>
    </row>
    <row r="1172">
      <c r="A1172" s="67" t="s">
        <v>221</v>
      </c>
      <c r="B1172" s="60" t="s">
        <v>535</v>
      </c>
      <c r="C1172" s="57"/>
      <c r="D1172" s="57"/>
      <c r="E1172" s="57"/>
      <c r="F1172" s="57"/>
      <c r="G1172" s="57"/>
      <c r="H1172" s="57"/>
      <c r="I1172" s="57"/>
      <c r="J1172" s="57"/>
      <c r="K1172" s="63"/>
      <c r="L1172" s="57"/>
      <c r="M1172" s="57"/>
      <c r="N1172" s="57"/>
      <c r="O1172" s="57"/>
      <c r="P1172" s="57"/>
      <c r="Q1172" s="57"/>
    </row>
    <row r="1173">
      <c r="A1173" s="60" t="s">
        <v>38</v>
      </c>
      <c r="B1173" s="26"/>
      <c r="C1173" s="65">
        <v>90.0</v>
      </c>
      <c r="D1173" s="57">
        <f t="shared" ref="D1173:D1174" si="503">ROUNDDOWN(C1173*1.1,0)</f>
        <v>99</v>
      </c>
      <c r="E1173" s="57">
        <f t="shared" ref="E1173:E1174" si="504">ROUNDDOWN(C1173*1.21,0)</f>
        <v>108</v>
      </c>
      <c r="F1173" s="57">
        <f t="shared" ref="F1173:F1174" si="505">ROUNDDOWN(C1173*1.33,0)</f>
        <v>119</v>
      </c>
      <c r="G1173" s="57">
        <f t="shared" ref="G1173:G1174" si="506">ROUNDDOWN(C1173*1.46,0)</f>
        <v>131</v>
      </c>
      <c r="H1173" s="57">
        <f t="shared" ref="H1173:H1174" si="507">ROUNDDOWN(C1173*1.6,0)</f>
        <v>144</v>
      </c>
      <c r="I1173" s="57">
        <f t="shared" ref="I1173:I1174" si="508">ROUNDDOWN(C1173*1.76,0)</f>
        <v>158</v>
      </c>
      <c r="J1173" s="57">
        <f t="shared" ref="J1173:J1174" si="509">ROUNDDOWN(C1173*1.93,0)</f>
        <v>173</v>
      </c>
      <c r="K1173" s="63">
        <f t="shared" ref="K1173:K1174" si="510">ROUNDDOWN(C1173*2.12,0)</f>
        <v>190</v>
      </c>
      <c r="L1173" s="57">
        <f t="shared" ref="L1173:L1174" si="511">ROUNDDOWN(C1173*2.33,0)</f>
        <v>209</v>
      </c>
      <c r="M1173" s="57">
        <f t="shared" ref="M1173:M1174" si="512">ROUNDDOWN(C1173*2.56,0)</f>
        <v>230</v>
      </c>
      <c r="N1173" s="57">
        <f t="shared" ref="N1173:N1174" si="513">ROUNDDOWN(C1173*2.81,0)</f>
        <v>252</v>
      </c>
      <c r="O1173" s="57">
        <f t="shared" ref="O1173:O1174" si="514">ROUNDDOWN(C1173*3.09,0)</f>
        <v>278</v>
      </c>
      <c r="P1173" s="57">
        <f t="shared" ref="P1173:P1174" si="515">ROUNDDOWN(C1173*3.39,0)</f>
        <v>305</v>
      </c>
      <c r="Q1173" s="57"/>
    </row>
    <row r="1174">
      <c r="A1174" s="60" t="s">
        <v>24</v>
      </c>
      <c r="B1174" s="26"/>
      <c r="C1174" s="65">
        <v>43.0</v>
      </c>
      <c r="D1174" s="57">
        <f t="shared" si="503"/>
        <v>47</v>
      </c>
      <c r="E1174" s="57">
        <f t="shared" si="504"/>
        <v>52</v>
      </c>
      <c r="F1174" s="57">
        <f t="shared" si="505"/>
        <v>57</v>
      </c>
      <c r="G1174" s="57">
        <f t="shared" si="506"/>
        <v>62</v>
      </c>
      <c r="H1174" s="57">
        <f t="shared" si="507"/>
        <v>68</v>
      </c>
      <c r="I1174" s="57">
        <f t="shared" si="508"/>
        <v>75</v>
      </c>
      <c r="J1174" s="57">
        <f t="shared" si="509"/>
        <v>82</v>
      </c>
      <c r="K1174" s="63">
        <f t="shared" si="510"/>
        <v>91</v>
      </c>
      <c r="L1174" s="57">
        <f t="shared" si="511"/>
        <v>100</v>
      </c>
      <c r="M1174" s="57">
        <f t="shared" si="512"/>
        <v>110</v>
      </c>
      <c r="N1174" s="57">
        <f t="shared" si="513"/>
        <v>120</v>
      </c>
      <c r="O1174" s="57">
        <f t="shared" si="514"/>
        <v>132</v>
      </c>
      <c r="P1174" s="57">
        <f t="shared" si="515"/>
        <v>145</v>
      </c>
      <c r="Q1174" s="57"/>
    </row>
    <row r="1175">
      <c r="A1175" s="60" t="s">
        <v>428</v>
      </c>
      <c r="B1175" s="60" t="s">
        <v>429</v>
      </c>
      <c r="C1175" s="57"/>
      <c r="D1175" s="57"/>
      <c r="E1175" s="57"/>
      <c r="F1175" s="57"/>
      <c r="G1175" s="57"/>
      <c r="H1175" s="57"/>
      <c r="I1175" s="57"/>
      <c r="J1175" s="57"/>
      <c r="K1175" s="63"/>
      <c r="L1175" s="57"/>
      <c r="M1175" s="57"/>
      <c r="N1175" s="57"/>
      <c r="O1175" s="57"/>
      <c r="P1175" s="57"/>
      <c r="Q1175" s="57"/>
    </row>
    <row r="1176">
      <c r="A1176" s="60" t="s">
        <v>55</v>
      </c>
      <c r="B1176" s="60" t="s">
        <v>430</v>
      </c>
      <c r="C1176" s="57"/>
      <c r="D1176" s="57"/>
      <c r="E1176" s="57"/>
      <c r="F1176" s="57"/>
      <c r="G1176" s="57"/>
      <c r="H1176" s="57"/>
      <c r="I1176" s="57"/>
      <c r="J1176" s="57"/>
      <c r="K1176" s="63"/>
      <c r="L1176" s="57"/>
      <c r="M1176" s="57"/>
      <c r="N1176" s="57"/>
      <c r="O1176" s="57"/>
      <c r="P1176" s="57"/>
      <c r="Q1176" s="57"/>
    </row>
    <row r="1177">
      <c r="A1177" s="60" t="s">
        <v>51</v>
      </c>
      <c r="B1177" s="60" t="s">
        <v>482</v>
      </c>
      <c r="C1177" s="57"/>
      <c r="D1177" s="57"/>
      <c r="E1177" s="57"/>
      <c r="F1177" s="57"/>
      <c r="G1177" s="57"/>
      <c r="H1177" s="57"/>
      <c r="I1177" s="57"/>
      <c r="J1177" s="57"/>
      <c r="K1177" s="63"/>
      <c r="L1177" s="57"/>
      <c r="M1177" s="57"/>
      <c r="N1177" s="57"/>
      <c r="O1177" s="57"/>
      <c r="P1177" s="57"/>
      <c r="Q1177" s="57"/>
    </row>
    <row r="1178">
      <c r="A1178" s="60" t="s">
        <v>49</v>
      </c>
      <c r="B1178" s="60" t="s">
        <v>466</v>
      </c>
      <c r="C1178" s="57"/>
      <c r="D1178" s="57"/>
      <c r="E1178" s="57"/>
      <c r="F1178" s="57"/>
      <c r="G1178" s="57"/>
      <c r="H1178" s="57"/>
      <c r="I1178" s="57"/>
      <c r="J1178" s="57"/>
      <c r="K1178" s="63"/>
      <c r="L1178" s="57"/>
      <c r="M1178" s="57"/>
      <c r="N1178" s="57"/>
      <c r="O1178" s="57"/>
      <c r="P1178" s="57"/>
      <c r="Q1178" s="57"/>
    </row>
    <row r="1179">
      <c r="A1179" s="60" t="s">
        <v>432</v>
      </c>
      <c r="B1179" s="60" t="s">
        <v>450</v>
      </c>
      <c r="C1179" s="57"/>
      <c r="D1179" s="57"/>
      <c r="E1179" s="57"/>
      <c r="F1179" s="57"/>
      <c r="G1179" s="57"/>
      <c r="H1179" s="57"/>
      <c r="I1179" s="57"/>
      <c r="J1179" s="57"/>
      <c r="K1179" s="63"/>
      <c r="L1179" s="57"/>
      <c r="M1179" s="57"/>
      <c r="N1179" s="57"/>
      <c r="O1179" s="57"/>
      <c r="P1179" s="57"/>
      <c r="Q1179" s="57"/>
    </row>
    <row r="1180">
      <c r="A1180" s="60" t="s">
        <v>422</v>
      </c>
      <c r="B1180" s="60" t="s">
        <v>517</v>
      </c>
      <c r="C1180" s="57"/>
      <c r="D1180" s="57"/>
      <c r="E1180" s="57"/>
      <c r="F1180" s="57"/>
      <c r="G1180" s="57"/>
      <c r="H1180" s="57"/>
      <c r="I1180" s="57"/>
      <c r="J1180" s="57"/>
      <c r="K1180" s="63"/>
      <c r="L1180" s="57"/>
      <c r="M1180" s="57"/>
      <c r="N1180" s="57"/>
      <c r="O1180" s="57"/>
      <c r="P1180" s="57"/>
      <c r="Q1180" s="57"/>
    </row>
    <row r="1181">
      <c r="A1181" s="60" t="s">
        <v>435</v>
      </c>
      <c r="B1181" s="60" t="s">
        <v>436</v>
      </c>
      <c r="C1181" s="57"/>
      <c r="D1181" s="57"/>
      <c r="E1181" s="57"/>
      <c r="F1181" s="57"/>
      <c r="G1181" s="57"/>
      <c r="H1181" s="57"/>
      <c r="I1181" s="57"/>
      <c r="J1181" s="57"/>
      <c r="K1181" s="63"/>
      <c r="L1181" s="57"/>
      <c r="M1181" s="57"/>
      <c r="N1181" s="57"/>
      <c r="O1181" s="57"/>
      <c r="P1181" s="57"/>
      <c r="Q1181" s="57"/>
    </row>
    <row r="1182">
      <c r="A1182" s="60" t="s">
        <v>483</v>
      </c>
      <c r="B1182" s="60" t="s">
        <v>443</v>
      </c>
      <c r="C1182" s="57"/>
      <c r="D1182" s="57"/>
      <c r="E1182" s="57"/>
      <c r="F1182" s="57"/>
      <c r="G1182" s="57"/>
      <c r="H1182" s="57"/>
      <c r="I1182" s="57"/>
      <c r="J1182" s="57"/>
      <c r="K1182" s="63"/>
      <c r="L1182" s="57"/>
      <c r="M1182" s="57"/>
      <c r="N1182" s="57"/>
      <c r="O1182" s="57"/>
      <c r="P1182" s="57"/>
      <c r="Q1182" s="57"/>
    </row>
    <row r="1183">
      <c r="A1183" s="60" t="s">
        <v>426</v>
      </c>
      <c r="B1183" s="60" t="s">
        <v>485</v>
      </c>
      <c r="C1183" s="57"/>
      <c r="D1183" s="57"/>
      <c r="E1183" s="57"/>
      <c r="F1183" s="57"/>
      <c r="G1183" s="57"/>
      <c r="H1183" s="57"/>
      <c r="I1183" s="57"/>
      <c r="J1183" s="57"/>
      <c r="K1183" s="63"/>
      <c r="L1183" s="57"/>
      <c r="M1183" s="57"/>
      <c r="N1183" s="57"/>
      <c r="O1183" s="57"/>
      <c r="P1183" s="57"/>
      <c r="Q1183" s="57"/>
    </row>
    <row r="1184">
      <c r="A1184" s="60" t="s">
        <v>64</v>
      </c>
      <c r="B1184" s="60" t="s">
        <v>430</v>
      </c>
      <c r="C1184" s="57"/>
      <c r="D1184" s="57"/>
      <c r="E1184" s="57"/>
      <c r="F1184" s="57"/>
      <c r="G1184" s="57"/>
      <c r="H1184" s="57"/>
      <c r="I1184" s="57"/>
      <c r="J1184" s="57"/>
      <c r="K1184" s="63"/>
      <c r="L1184" s="57"/>
      <c r="M1184" s="57"/>
      <c r="N1184" s="57"/>
      <c r="O1184" s="57"/>
      <c r="P1184" s="57"/>
      <c r="Q1184" s="57"/>
    </row>
    <row r="1185">
      <c r="A1185" s="60" t="s">
        <v>597</v>
      </c>
      <c r="B1185" s="82">
        <v>-1.0</v>
      </c>
      <c r="C1185" s="57"/>
      <c r="D1185" s="57"/>
      <c r="E1185" s="57"/>
      <c r="F1185" s="57"/>
      <c r="G1185" s="57"/>
      <c r="H1185" s="57"/>
      <c r="I1185" s="57"/>
      <c r="J1185" s="57"/>
      <c r="K1185" s="63"/>
      <c r="L1185" s="57"/>
      <c r="M1185" s="57"/>
      <c r="N1185" s="57"/>
      <c r="O1185" s="57"/>
      <c r="P1185" s="57"/>
      <c r="Q1185" s="57"/>
    </row>
    <row r="1186">
      <c r="A1186" s="60" t="s">
        <v>53</v>
      </c>
      <c r="B1186" s="60" t="s">
        <v>462</v>
      </c>
      <c r="C1186" s="57"/>
      <c r="D1186" s="57"/>
      <c r="E1186" s="57"/>
      <c r="F1186" s="57"/>
      <c r="G1186" s="57"/>
      <c r="H1186" s="57"/>
      <c r="I1186" s="57"/>
      <c r="J1186" s="57"/>
      <c r="K1186" s="63"/>
      <c r="L1186" s="57"/>
      <c r="M1186" s="57"/>
      <c r="N1186" s="57"/>
      <c r="O1186" s="57"/>
      <c r="P1186" s="57"/>
      <c r="Q1186" s="57"/>
    </row>
    <row r="1187">
      <c r="A1187" s="60" t="s">
        <v>50</v>
      </c>
      <c r="B1187" s="60" t="s">
        <v>425</v>
      </c>
      <c r="C1187" s="57"/>
      <c r="D1187" s="57"/>
      <c r="E1187" s="57"/>
      <c r="F1187" s="57"/>
      <c r="G1187" s="57"/>
      <c r="H1187" s="57"/>
      <c r="I1187" s="57"/>
      <c r="J1187" s="57"/>
      <c r="K1187" s="63"/>
      <c r="L1187" s="57"/>
      <c r="M1187" s="57"/>
      <c r="N1187" s="57"/>
      <c r="O1187" s="57"/>
      <c r="P1187" s="57"/>
      <c r="Q1187" s="57"/>
    </row>
    <row r="1188">
      <c r="A1188" s="60" t="s">
        <v>438</v>
      </c>
      <c r="B1188" s="60" t="s">
        <v>436</v>
      </c>
      <c r="C1188" s="57"/>
      <c r="D1188" s="57"/>
      <c r="E1188" s="57"/>
      <c r="F1188" s="57"/>
      <c r="G1188" s="57"/>
      <c r="H1188" s="57"/>
      <c r="I1188" s="57"/>
      <c r="J1188" s="57"/>
      <c r="K1188" s="63"/>
      <c r="L1188" s="57"/>
      <c r="M1188" s="57"/>
      <c r="N1188" s="57"/>
      <c r="O1188" s="57"/>
      <c r="P1188" s="57"/>
      <c r="Q1188" s="57"/>
    </row>
    <row r="1189">
      <c r="A1189" s="60" t="s">
        <v>439</v>
      </c>
      <c r="B1189" s="60" t="s">
        <v>487</v>
      </c>
      <c r="C1189" s="57"/>
      <c r="D1189" s="57"/>
      <c r="E1189" s="57"/>
      <c r="F1189" s="57"/>
      <c r="G1189" s="57"/>
      <c r="H1189" s="57"/>
      <c r="I1189" s="57"/>
      <c r="J1189" s="57"/>
      <c r="K1189" s="63"/>
      <c r="L1189" s="57"/>
      <c r="M1189" s="57"/>
      <c r="N1189" s="57"/>
      <c r="O1189" s="57"/>
      <c r="P1189" s="57"/>
      <c r="Q1189" s="57"/>
    </row>
    <row r="1190">
      <c r="A1190" s="60" t="s">
        <v>441</v>
      </c>
      <c r="B1190" s="60">
        <v>1.0</v>
      </c>
      <c r="C1190" s="57"/>
      <c r="D1190" s="57"/>
      <c r="E1190" s="57"/>
      <c r="F1190" s="57"/>
      <c r="G1190" s="57"/>
      <c r="H1190" s="57"/>
      <c r="I1190" s="57"/>
      <c r="J1190" s="57"/>
      <c r="K1190" s="63"/>
      <c r="L1190" s="57"/>
      <c r="M1190" s="57"/>
      <c r="N1190" s="57"/>
      <c r="O1190" s="57"/>
      <c r="P1190" s="57"/>
      <c r="Q1190" s="57"/>
    </row>
    <row r="1191">
      <c r="A1191" s="60" t="s">
        <v>467</v>
      </c>
      <c r="B1191" s="60" t="s">
        <v>494</v>
      </c>
      <c r="C1191" s="57"/>
      <c r="D1191" s="57"/>
      <c r="E1191" s="57"/>
      <c r="F1191" s="57"/>
      <c r="G1191" s="57"/>
      <c r="H1191" s="57"/>
      <c r="I1191" s="57"/>
      <c r="J1191" s="57"/>
      <c r="K1191" s="63"/>
      <c r="L1191" s="57"/>
      <c r="M1191" s="57"/>
      <c r="N1191" s="57"/>
      <c r="O1191" s="57"/>
      <c r="P1191" s="57"/>
      <c r="Q1191" s="57"/>
    </row>
    <row r="1192">
      <c r="A1192" s="60" t="s">
        <v>488</v>
      </c>
      <c r="B1192" s="60" t="s">
        <v>436</v>
      </c>
      <c r="C1192" s="57"/>
      <c r="D1192" s="57"/>
      <c r="E1192" s="57"/>
      <c r="F1192" s="57"/>
      <c r="G1192" s="57"/>
      <c r="H1192" s="57"/>
      <c r="I1192" s="57"/>
      <c r="J1192" s="57"/>
      <c r="K1192" s="63"/>
      <c r="L1192" s="57"/>
      <c r="M1192" s="57"/>
      <c r="N1192" s="57"/>
      <c r="O1192" s="57"/>
      <c r="P1192" s="57"/>
      <c r="Q1192" s="57"/>
    </row>
    <row r="1193">
      <c r="A1193" s="60" t="s">
        <v>447</v>
      </c>
      <c r="B1193" s="60" t="s">
        <v>448</v>
      </c>
      <c r="C1193" s="57"/>
      <c r="D1193" s="57"/>
      <c r="E1193" s="57"/>
      <c r="F1193" s="57"/>
      <c r="G1193" s="57"/>
      <c r="H1193" s="57"/>
      <c r="I1193" s="57"/>
      <c r="J1193" s="57"/>
      <c r="K1193" s="63"/>
      <c r="L1193" s="57"/>
      <c r="M1193" s="57"/>
      <c r="N1193" s="57"/>
      <c r="O1193" s="57"/>
      <c r="P1193" s="57"/>
      <c r="Q1193" s="57"/>
    </row>
    <row r="1194">
      <c r="A1194" s="68" t="s">
        <v>320</v>
      </c>
      <c r="B1194" s="60" t="s">
        <v>539</v>
      </c>
      <c r="C1194" s="57"/>
      <c r="D1194" s="57"/>
      <c r="E1194" s="57"/>
      <c r="F1194" s="57"/>
      <c r="G1194" s="57"/>
      <c r="H1194" s="57"/>
      <c r="I1194" s="57"/>
      <c r="J1194" s="57"/>
      <c r="K1194" s="63"/>
      <c r="L1194" s="57"/>
      <c r="M1194" s="57"/>
      <c r="N1194" s="57"/>
      <c r="O1194" s="57"/>
      <c r="P1194" s="57"/>
      <c r="Q1194" s="57"/>
    </row>
    <row r="1195">
      <c r="A1195" s="60" t="s">
        <v>38</v>
      </c>
      <c r="B1195" s="26"/>
      <c r="C1195" s="57"/>
      <c r="D1195" s="57"/>
      <c r="E1195" s="65">
        <v>505.0</v>
      </c>
      <c r="F1195" s="57">
        <f>ROUNDDOWN(E1195*1.1,0)</f>
        <v>555</v>
      </c>
      <c r="G1195" s="57">
        <f>ROUNDDOWN(E1195*1.21,0)</f>
        <v>611</v>
      </c>
      <c r="H1195" s="57">
        <f>ROUNDDOWN(E1195*1.33,0)</f>
        <v>671</v>
      </c>
      <c r="I1195" s="57">
        <f>ROUNDDOWN(E1195*1.46,0)</f>
        <v>737</v>
      </c>
      <c r="J1195" s="57">
        <f>ROUNDDOWN(E1195*1.6,0)</f>
        <v>808</v>
      </c>
      <c r="K1195" s="63">
        <f>ROUNDDOWN(E1195*1.76,0)</f>
        <v>888</v>
      </c>
      <c r="L1195" s="57">
        <f>ROUNDDOWN(E1195*1.93,0)</f>
        <v>974</v>
      </c>
      <c r="M1195" s="57">
        <f>ROUNDDOWN(E1195*2.12,0)</f>
        <v>1070</v>
      </c>
      <c r="N1195" s="57">
        <f>ROUNDDOWN(E1195*2.33,0)</f>
        <v>1176</v>
      </c>
      <c r="O1195" s="57">
        <f>ROUNDDOWN(E1195*2.56,0)</f>
        <v>1292</v>
      </c>
      <c r="P1195" s="57">
        <f>ROUNDDOWN(E1195*2.81,0)</f>
        <v>1419</v>
      </c>
      <c r="Q1195" s="57"/>
    </row>
    <row r="1196">
      <c r="A1196" s="60" t="s">
        <v>55</v>
      </c>
      <c r="B1196" s="60" t="s">
        <v>430</v>
      </c>
      <c r="C1196" s="57"/>
      <c r="D1196" s="57"/>
      <c r="E1196" s="57"/>
      <c r="F1196" s="57"/>
      <c r="G1196" s="57"/>
      <c r="H1196" s="57"/>
      <c r="I1196" s="57"/>
      <c r="J1196" s="57"/>
      <c r="K1196" s="63"/>
      <c r="L1196" s="57"/>
      <c r="M1196" s="57"/>
      <c r="N1196" s="57"/>
      <c r="O1196" s="57"/>
      <c r="P1196" s="57"/>
      <c r="Q1196" s="57"/>
    </row>
    <row r="1197">
      <c r="A1197" s="60" t="s">
        <v>56</v>
      </c>
      <c r="B1197" s="60" t="s">
        <v>709</v>
      </c>
      <c r="C1197" s="57"/>
      <c r="D1197" s="57"/>
      <c r="E1197" s="57"/>
      <c r="F1197" s="57"/>
      <c r="G1197" s="57"/>
      <c r="H1197" s="57"/>
      <c r="I1197" s="57"/>
      <c r="J1197" s="57"/>
      <c r="K1197" s="63"/>
      <c r="L1197" s="57"/>
      <c r="M1197" s="57"/>
      <c r="N1197" s="57"/>
      <c r="O1197" s="57"/>
      <c r="P1197" s="57"/>
      <c r="Q1197" s="57"/>
    </row>
    <row r="1198">
      <c r="A1198" s="60" t="s">
        <v>439</v>
      </c>
      <c r="B1198" s="60" t="s">
        <v>505</v>
      </c>
      <c r="C1198" s="57"/>
      <c r="D1198" s="57"/>
      <c r="E1198" s="57"/>
      <c r="F1198" s="57"/>
      <c r="G1198" s="57"/>
      <c r="H1198" s="57"/>
      <c r="I1198" s="57"/>
      <c r="J1198" s="57"/>
      <c r="K1198" s="63"/>
      <c r="L1198" s="57"/>
      <c r="M1198" s="57"/>
      <c r="N1198" s="57"/>
      <c r="O1198" s="57"/>
      <c r="P1198" s="57"/>
      <c r="Q1198" s="57"/>
    </row>
    <row r="1199">
      <c r="A1199" s="60" t="s">
        <v>710</v>
      </c>
      <c r="B1199" s="60" t="s">
        <v>535</v>
      </c>
      <c r="C1199" s="57"/>
      <c r="D1199" s="57"/>
      <c r="E1199" s="57"/>
      <c r="F1199" s="57"/>
      <c r="G1199" s="57"/>
      <c r="H1199" s="57"/>
      <c r="I1199" s="57"/>
      <c r="J1199" s="57"/>
      <c r="K1199" s="63"/>
      <c r="L1199" s="57"/>
      <c r="M1199" s="57"/>
      <c r="N1199" s="57"/>
      <c r="O1199" s="57"/>
      <c r="P1199" s="57"/>
      <c r="Q1199" s="57"/>
    </row>
    <row r="1200">
      <c r="A1200" s="60" t="s">
        <v>48</v>
      </c>
      <c r="B1200" s="60" t="s">
        <v>711</v>
      </c>
      <c r="C1200" s="57"/>
      <c r="D1200" s="57"/>
      <c r="E1200" s="57"/>
      <c r="F1200" s="57"/>
      <c r="G1200" s="57"/>
      <c r="H1200" s="57"/>
      <c r="I1200" s="57"/>
      <c r="J1200" s="57"/>
      <c r="K1200" s="63"/>
      <c r="L1200" s="57"/>
      <c r="M1200" s="57"/>
      <c r="N1200" s="57"/>
      <c r="O1200" s="57"/>
      <c r="P1200" s="57"/>
      <c r="Q1200" s="57"/>
    </row>
    <row r="1201">
      <c r="A1201" s="68" t="s">
        <v>222</v>
      </c>
      <c r="B1201" s="60" t="s">
        <v>480</v>
      </c>
      <c r="C1201" s="57"/>
      <c r="D1201" s="57"/>
      <c r="E1201" s="57"/>
      <c r="F1201" s="57"/>
      <c r="G1201" s="57"/>
      <c r="H1201" s="57"/>
      <c r="I1201" s="57"/>
      <c r="J1201" s="57"/>
      <c r="K1201" s="63"/>
      <c r="L1201" s="57"/>
      <c r="M1201" s="57"/>
      <c r="N1201" s="57"/>
      <c r="O1201" s="57"/>
      <c r="P1201" s="57"/>
      <c r="Q1201" s="57"/>
    </row>
    <row r="1202">
      <c r="A1202" s="60" t="s">
        <v>38</v>
      </c>
      <c r="B1202" s="60"/>
      <c r="C1202" s="57"/>
      <c r="D1202" s="57"/>
      <c r="E1202" s="65">
        <v>565.0</v>
      </c>
      <c r="F1202" s="57">
        <f t="shared" ref="F1202:F1204" si="516">ROUNDDOWN(E1202*1.1,0)</f>
        <v>621</v>
      </c>
      <c r="G1202" s="57">
        <f t="shared" ref="G1202:G1204" si="517">ROUNDDOWN(E1202*1.21,0)</f>
        <v>683</v>
      </c>
      <c r="H1202" s="57">
        <f t="shared" ref="H1202:H1204" si="518">ROUNDDOWN(E1202*1.33,0)</f>
        <v>751</v>
      </c>
      <c r="I1202" s="57">
        <f t="shared" ref="I1202:I1204" si="519">ROUNDDOWN(E1202*1.46,0)</f>
        <v>824</v>
      </c>
      <c r="J1202" s="57">
        <f t="shared" ref="J1202:J1204" si="520">ROUNDDOWN(E1202*1.6,0)</f>
        <v>904</v>
      </c>
      <c r="K1202" s="63">
        <f t="shared" ref="K1202:K1204" si="521">ROUNDDOWN(E1202*1.76,0)</f>
        <v>994</v>
      </c>
      <c r="L1202" s="57">
        <f t="shared" ref="L1202:L1204" si="522">ROUNDDOWN(E1202*1.93,0)</f>
        <v>1090</v>
      </c>
      <c r="M1202" s="57">
        <f t="shared" ref="M1202:M1204" si="523">ROUNDDOWN(E1202*2.12,0)</f>
        <v>1197</v>
      </c>
      <c r="N1202" s="57">
        <f t="shared" ref="N1202:N1204" si="524">ROUNDDOWN(E1202*2.33,0)</f>
        <v>1316</v>
      </c>
      <c r="O1202" s="57">
        <f t="shared" ref="O1202:O1204" si="525">ROUNDDOWN(E1202*2.56,0)</f>
        <v>1446</v>
      </c>
      <c r="P1202" s="57">
        <f t="shared" ref="P1202:P1204" si="526">ROUNDDOWN(E1202*2.81,0)</f>
        <v>1587</v>
      </c>
      <c r="Q1202" s="57"/>
    </row>
    <row r="1203">
      <c r="A1203" s="60" t="s">
        <v>24</v>
      </c>
      <c r="B1203" s="60"/>
      <c r="C1203" s="57"/>
      <c r="D1203" s="57"/>
      <c r="E1203" s="65">
        <v>40.0</v>
      </c>
      <c r="F1203" s="57">
        <f t="shared" si="516"/>
        <v>44</v>
      </c>
      <c r="G1203" s="57">
        <f t="shared" si="517"/>
        <v>48</v>
      </c>
      <c r="H1203" s="57">
        <f t="shared" si="518"/>
        <v>53</v>
      </c>
      <c r="I1203" s="57">
        <f t="shared" si="519"/>
        <v>58</v>
      </c>
      <c r="J1203" s="57">
        <f t="shared" si="520"/>
        <v>64</v>
      </c>
      <c r="K1203" s="63">
        <f t="shared" si="521"/>
        <v>70</v>
      </c>
      <c r="L1203" s="57">
        <f t="shared" si="522"/>
        <v>77</v>
      </c>
      <c r="M1203" s="57">
        <f t="shared" si="523"/>
        <v>84</v>
      </c>
      <c r="N1203" s="57">
        <f t="shared" si="524"/>
        <v>93</v>
      </c>
      <c r="O1203" s="57">
        <f t="shared" si="525"/>
        <v>102</v>
      </c>
      <c r="P1203" s="57">
        <f t="shared" si="526"/>
        <v>112</v>
      </c>
      <c r="Q1203" s="57"/>
    </row>
    <row r="1204">
      <c r="A1204" s="60" t="s">
        <v>30</v>
      </c>
      <c r="B1204" s="60"/>
      <c r="C1204" s="57"/>
      <c r="D1204" s="57"/>
      <c r="E1204" s="65">
        <v>40.0</v>
      </c>
      <c r="F1204" s="57">
        <f t="shared" si="516"/>
        <v>44</v>
      </c>
      <c r="G1204" s="57">
        <f t="shared" si="517"/>
        <v>48</v>
      </c>
      <c r="H1204" s="57">
        <f t="shared" si="518"/>
        <v>53</v>
      </c>
      <c r="I1204" s="57">
        <f t="shared" si="519"/>
        <v>58</v>
      </c>
      <c r="J1204" s="57">
        <f t="shared" si="520"/>
        <v>64</v>
      </c>
      <c r="K1204" s="63">
        <f t="shared" si="521"/>
        <v>70</v>
      </c>
      <c r="L1204" s="57">
        <f t="shared" si="522"/>
        <v>77</v>
      </c>
      <c r="M1204" s="57">
        <f t="shared" si="523"/>
        <v>84</v>
      </c>
      <c r="N1204" s="57">
        <f t="shared" si="524"/>
        <v>93</v>
      </c>
      <c r="O1204" s="57">
        <f t="shared" si="525"/>
        <v>102</v>
      </c>
      <c r="P1204" s="57">
        <f t="shared" si="526"/>
        <v>112</v>
      </c>
      <c r="Q1204" s="57"/>
    </row>
    <row r="1205">
      <c r="A1205" s="60" t="s">
        <v>428</v>
      </c>
      <c r="B1205" s="60" t="s">
        <v>481</v>
      </c>
      <c r="C1205" s="57"/>
      <c r="D1205" s="57"/>
      <c r="E1205" s="57"/>
      <c r="F1205" s="57"/>
      <c r="G1205" s="57"/>
      <c r="H1205" s="57"/>
      <c r="I1205" s="57"/>
      <c r="J1205" s="57"/>
      <c r="K1205" s="63"/>
      <c r="L1205" s="57"/>
      <c r="M1205" s="57"/>
      <c r="N1205" s="57"/>
      <c r="O1205" s="57"/>
      <c r="P1205" s="57"/>
      <c r="Q1205" s="57"/>
    </row>
    <row r="1206">
      <c r="A1206" s="60" t="s">
        <v>55</v>
      </c>
      <c r="B1206" s="60" t="s">
        <v>430</v>
      </c>
      <c r="C1206" s="57"/>
      <c r="D1206" s="57"/>
      <c r="E1206" s="57"/>
      <c r="F1206" s="57"/>
      <c r="G1206" s="57"/>
      <c r="H1206" s="57"/>
      <c r="I1206" s="57"/>
      <c r="J1206" s="57"/>
      <c r="K1206" s="63"/>
      <c r="L1206" s="57"/>
      <c r="M1206" s="57"/>
      <c r="N1206" s="57"/>
      <c r="O1206" s="57"/>
      <c r="P1206" s="57"/>
      <c r="Q1206" s="57"/>
    </row>
    <row r="1207">
      <c r="A1207" s="60" t="s">
        <v>51</v>
      </c>
      <c r="B1207" s="60" t="s">
        <v>470</v>
      </c>
      <c r="C1207" s="57"/>
      <c r="D1207" s="57"/>
      <c r="E1207" s="57"/>
      <c r="F1207" s="57"/>
      <c r="G1207" s="57"/>
      <c r="H1207" s="57"/>
      <c r="I1207" s="57"/>
      <c r="J1207" s="57"/>
      <c r="K1207" s="63"/>
      <c r="L1207" s="57"/>
      <c r="M1207" s="57"/>
      <c r="N1207" s="57"/>
      <c r="O1207" s="57"/>
      <c r="P1207" s="57"/>
      <c r="Q1207" s="57"/>
    </row>
    <row r="1208">
      <c r="A1208" s="60" t="s">
        <v>49</v>
      </c>
      <c r="B1208" s="60" t="s">
        <v>574</v>
      </c>
      <c r="C1208" s="57"/>
      <c r="D1208" s="57"/>
      <c r="E1208" s="57"/>
      <c r="F1208" s="57"/>
      <c r="G1208" s="57"/>
      <c r="H1208" s="57"/>
      <c r="I1208" s="57"/>
      <c r="J1208" s="57"/>
      <c r="K1208" s="63"/>
      <c r="L1208" s="57"/>
      <c r="M1208" s="57"/>
      <c r="N1208" s="57"/>
      <c r="O1208" s="57"/>
      <c r="P1208" s="57"/>
      <c r="Q1208" s="57"/>
    </row>
    <row r="1209">
      <c r="A1209" s="60" t="s">
        <v>432</v>
      </c>
      <c r="B1209" s="60" t="s">
        <v>471</v>
      </c>
      <c r="C1209" s="57"/>
      <c r="D1209" s="57"/>
      <c r="E1209" s="57"/>
      <c r="F1209" s="57"/>
      <c r="G1209" s="57"/>
      <c r="H1209" s="57"/>
      <c r="I1209" s="57"/>
      <c r="J1209" s="57"/>
      <c r="K1209" s="63"/>
      <c r="L1209" s="57"/>
      <c r="M1209" s="57"/>
      <c r="N1209" s="57"/>
      <c r="O1209" s="57"/>
      <c r="P1209" s="57"/>
      <c r="Q1209" s="57"/>
    </row>
    <row r="1210">
      <c r="A1210" s="60" t="s">
        <v>53</v>
      </c>
      <c r="B1210" s="60" t="s">
        <v>473</v>
      </c>
      <c r="C1210" s="57"/>
      <c r="D1210" s="57"/>
      <c r="E1210" s="57"/>
      <c r="F1210" s="57"/>
      <c r="G1210" s="57"/>
      <c r="H1210" s="57"/>
      <c r="I1210" s="57"/>
      <c r="J1210" s="57"/>
      <c r="K1210" s="63"/>
      <c r="L1210" s="57"/>
      <c r="M1210" s="57"/>
      <c r="N1210" s="57"/>
      <c r="O1210" s="57"/>
      <c r="P1210" s="57"/>
      <c r="Q1210" s="57"/>
    </row>
    <row r="1211">
      <c r="A1211" s="60" t="s">
        <v>50</v>
      </c>
      <c r="B1211" s="60" t="s">
        <v>109</v>
      </c>
      <c r="C1211" s="57"/>
      <c r="D1211" s="57"/>
      <c r="E1211" s="57"/>
      <c r="F1211" s="57"/>
      <c r="G1211" s="57"/>
      <c r="H1211" s="57"/>
      <c r="I1211" s="57"/>
      <c r="J1211" s="57"/>
      <c r="K1211" s="63"/>
      <c r="L1211" s="57"/>
      <c r="M1211" s="57"/>
      <c r="N1211" s="57"/>
      <c r="O1211" s="57"/>
      <c r="P1211" s="57"/>
      <c r="Q1211" s="57"/>
    </row>
    <row r="1212">
      <c r="A1212" s="60" t="s">
        <v>542</v>
      </c>
      <c r="B1212" s="60" t="s">
        <v>425</v>
      </c>
      <c r="C1212" s="57"/>
      <c r="D1212" s="57"/>
      <c r="E1212" s="57"/>
      <c r="F1212" s="57"/>
      <c r="G1212" s="57"/>
      <c r="H1212" s="57"/>
      <c r="I1212" s="57"/>
      <c r="J1212" s="57"/>
      <c r="K1212" s="63"/>
      <c r="L1212" s="57"/>
      <c r="M1212" s="57"/>
      <c r="N1212" s="57"/>
      <c r="O1212" s="57"/>
      <c r="P1212" s="57"/>
      <c r="Q1212" s="57"/>
    </row>
    <row r="1213">
      <c r="A1213" s="60" t="s">
        <v>543</v>
      </c>
      <c r="B1213" s="60" t="s">
        <v>478</v>
      </c>
      <c r="C1213" s="57"/>
      <c r="D1213" s="57"/>
      <c r="E1213" s="57"/>
      <c r="F1213" s="57"/>
      <c r="G1213" s="57"/>
      <c r="H1213" s="57"/>
      <c r="I1213" s="57"/>
      <c r="J1213" s="57"/>
      <c r="K1213" s="63"/>
      <c r="L1213" s="57"/>
      <c r="M1213" s="57"/>
      <c r="N1213" s="57"/>
      <c r="O1213" s="57"/>
      <c r="P1213" s="57"/>
      <c r="Q1213" s="57"/>
    </row>
    <row r="1214">
      <c r="A1214" s="60" t="s">
        <v>438</v>
      </c>
      <c r="B1214" s="60" t="s">
        <v>436</v>
      </c>
      <c r="C1214" s="57"/>
      <c r="D1214" s="57"/>
      <c r="E1214" s="57"/>
      <c r="F1214" s="57"/>
      <c r="G1214" s="57"/>
      <c r="H1214" s="57"/>
      <c r="I1214" s="57"/>
      <c r="J1214" s="57"/>
      <c r="K1214" s="63"/>
      <c r="L1214" s="57"/>
      <c r="M1214" s="57"/>
      <c r="N1214" s="57"/>
      <c r="O1214" s="57"/>
      <c r="P1214" s="57"/>
      <c r="Q1214" s="57"/>
    </row>
    <row r="1215">
      <c r="A1215" s="60" t="s">
        <v>439</v>
      </c>
      <c r="B1215" s="60" t="s">
        <v>549</v>
      </c>
      <c r="C1215" s="57"/>
      <c r="D1215" s="57"/>
      <c r="E1215" s="57"/>
      <c r="F1215" s="57"/>
      <c r="G1215" s="57"/>
      <c r="H1215" s="57"/>
      <c r="I1215" s="57"/>
      <c r="J1215" s="57"/>
      <c r="K1215" s="63"/>
      <c r="L1215" s="57"/>
      <c r="M1215" s="57"/>
      <c r="N1215" s="57"/>
      <c r="O1215" s="57"/>
      <c r="P1215" s="57"/>
      <c r="Q1215" s="57"/>
    </row>
    <row r="1216">
      <c r="A1216" s="60" t="s">
        <v>441</v>
      </c>
      <c r="B1216" s="60">
        <v>6.0</v>
      </c>
      <c r="C1216" s="57"/>
      <c r="D1216" s="57"/>
      <c r="E1216" s="57"/>
      <c r="F1216" s="57"/>
      <c r="G1216" s="57"/>
      <c r="H1216" s="57"/>
      <c r="I1216" s="57"/>
      <c r="J1216" s="57"/>
      <c r="K1216" s="63"/>
      <c r="L1216" s="57"/>
      <c r="M1216" s="57"/>
      <c r="N1216" s="57"/>
      <c r="O1216" s="57"/>
      <c r="P1216" s="57"/>
      <c r="Q1216" s="57"/>
    </row>
    <row r="1217">
      <c r="A1217" s="60" t="s">
        <v>467</v>
      </c>
      <c r="B1217" s="60" t="s">
        <v>505</v>
      </c>
      <c r="C1217" s="57"/>
      <c r="D1217" s="57"/>
      <c r="E1217" s="57"/>
      <c r="F1217" s="57"/>
      <c r="G1217" s="57"/>
      <c r="H1217" s="57"/>
      <c r="I1217" s="57"/>
      <c r="J1217" s="57"/>
      <c r="K1217" s="63"/>
      <c r="L1217" s="57"/>
      <c r="M1217" s="57"/>
      <c r="N1217" s="57"/>
      <c r="O1217" s="57"/>
      <c r="P1217" s="57"/>
      <c r="Q1217" s="57"/>
    </row>
    <row r="1218">
      <c r="A1218" s="60" t="s">
        <v>712</v>
      </c>
      <c r="B1218" s="60" t="s">
        <v>430</v>
      </c>
      <c r="C1218" s="57"/>
      <c r="D1218" s="57"/>
      <c r="E1218" s="57"/>
      <c r="F1218" s="57"/>
      <c r="G1218" s="57"/>
      <c r="H1218" s="57"/>
      <c r="I1218" s="57"/>
      <c r="J1218" s="57"/>
      <c r="K1218" s="63"/>
      <c r="L1218" s="57"/>
      <c r="M1218" s="57"/>
      <c r="N1218" s="57"/>
      <c r="O1218" s="57"/>
      <c r="P1218" s="57"/>
      <c r="Q1218" s="57"/>
    </row>
    <row r="1219">
      <c r="A1219" s="60" t="s">
        <v>713</v>
      </c>
      <c r="B1219" s="60" t="s">
        <v>478</v>
      </c>
      <c r="C1219" s="57"/>
      <c r="D1219" s="57"/>
      <c r="E1219" s="57"/>
      <c r="F1219" s="57"/>
      <c r="G1219" s="57"/>
      <c r="H1219" s="57"/>
      <c r="I1219" s="57"/>
      <c r="J1219" s="57"/>
      <c r="K1219" s="63"/>
      <c r="L1219" s="57"/>
      <c r="M1219" s="57"/>
      <c r="N1219" s="57"/>
      <c r="O1219" s="57"/>
      <c r="P1219" s="57"/>
      <c r="Q1219" s="57"/>
    </row>
    <row r="1220">
      <c r="A1220" s="60" t="s">
        <v>714</v>
      </c>
      <c r="B1220" s="82">
        <v>-0.35</v>
      </c>
      <c r="C1220" s="57"/>
      <c r="D1220" s="57"/>
      <c r="E1220" s="57"/>
      <c r="F1220" s="57"/>
      <c r="G1220" s="57"/>
      <c r="H1220" s="57"/>
      <c r="I1220" s="57"/>
      <c r="J1220" s="57"/>
      <c r="K1220" s="63"/>
      <c r="L1220" s="57"/>
      <c r="M1220" s="57"/>
      <c r="N1220" s="57"/>
      <c r="O1220" s="57"/>
      <c r="P1220" s="57"/>
      <c r="Q1220" s="57"/>
    </row>
    <row r="1221">
      <c r="A1221" s="60" t="s">
        <v>715</v>
      </c>
      <c r="B1221" s="60" t="s">
        <v>430</v>
      </c>
      <c r="C1221" s="57"/>
      <c r="D1221" s="57"/>
      <c r="E1221" s="57"/>
      <c r="F1221" s="57"/>
      <c r="G1221" s="57"/>
      <c r="H1221" s="57"/>
      <c r="I1221" s="57"/>
      <c r="J1221" s="57"/>
      <c r="K1221" s="63"/>
      <c r="L1221" s="57"/>
      <c r="M1221" s="57"/>
      <c r="N1221" s="57"/>
      <c r="O1221" s="57"/>
      <c r="P1221" s="57"/>
      <c r="Q1221" s="57"/>
    </row>
    <row r="1222">
      <c r="A1222" s="60" t="s">
        <v>716</v>
      </c>
      <c r="B1222" s="60" t="s">
        <v>425</v>
      </c>
      <c r="C1222" s="57"/>
      <c r="D1222" s="57"/>
      <c r="E1222" s="57"/>
      <c r="F1222" s="57"/>
      <c r="G1222" s="57"/>
      <c r="H1222" s="57"/>
      <c r="I1222" s="57"/>
      <c r="J1222" s="57"/>
      <c r="K1222" s="63"/>
      <c r="L1222" s="57"/>
      <c r="M1222" s="57"/>
      <c r="N1222" s="57"/>
      <c r="O1222" s="57"/>
      <c r="P1222" s="57"/>
      <c r="Q1222" s="57"/>
    </row>
    <row r="1223">
      <c r="A1223" s="60" t="s">
        <v>444</v>
      </c>
      <c r="B1223" s="60" t="s">
        <v>491</v>
      </c>
      <c r="C1223" s="57"/>
      <c r="D1223" s="57"/>
      <c r="E1223" s="57"/>
      <c r="F1223" s="57"/>
      <c r="G1223" s="57"/>
      <c r="H1223" s="57"/>
      <c r="I1223" s="57"/>
      <c r="J1223" s="57"/>
      <c r="K1223" s="63"/>
      <c r="L1223" s="57"/>
      <c r="M1223" s="57"/>
      <c r="N1223" s="57"/>
      <c r="O1223" s="57"/>
      <c r="P1223" s="57"/>
      <c r="Q1223" s="57"/>
    </row>
    <row r="1224">
      <c r="A1224" s="60" t="s">
        <v>446</v>
      </c>
      <c r="B1224" s="60" t="s">
        <v>491</v>
      </c>
      <c r="C1224" s="57"/>
      <c r="D1224" s="57"/>
      <c r="E1224" s="57"/>
      <c r="F1224" s="57"/>
      <c r="G1224" s="57"/>
      <c r="H1224" s="57"/>
      <c r="I1224" s="57"/>
      <c r="J1224" s="57"/>
      <c r="K1224" s="63"/>
      <c r="L1224" s="57"/>
      <c r="M1224" s="57"/>
      <c r="N1224" s="57"/>
      <c r="O1224" s="57"/>
      <c r="P1224" s="57"/>
      <c r="Q1224" s="57"/>
    </row>
    <row r="1225">
      <c r="A1225" s="60" t="s">
        <v>474</v>
      </c>
      <c r="B1225" s="60" t="s">
        <v>717</v>
      </c>
      <c r="C1225" s="57"/>
      <c r="D1225" s="57"/>
      <c r="E1225" s="57"/>
      <c r="F1225" s="57"/>
      <c r="G1225" s="57"/>
      <c r="H1225" s="57"/>
      <c r="I1225" s="57"/>
      <c r="J1225" s="57"/>
      <c r="K1225" s="63"/>
      <c r="L1225" s="57"/>
      <c r="M1225" s="57"/>
      <c r="N1225" s="57"/>
      <c r="O1225" s="57"/>
      <c r="P1225" s="57"/>
      <c r="Q1225" s="57"/>
    </row>
    <row r="1226">
      <c r="A1226" s="60" t="s">
        <v>476</v>
      </c>
      <c r="B1226" s="60" t="s">
        <v>718</v>
      </c>
      <c r="C1226" s="57"/>
      <c r="D1226" s="57"/>
      <c r="E1226" s="57"/>
      <c r="F1226" s="57"/>
      <c r="G1226" s="57"/>
      <c r="H1226" s="57"/>
      <c r="I1226" s="57"/>
      <c r="J1226" s="57"/>
      <c r="K1226" s="63"/>
      <c r="L1226" s="57"/>
      <c r="M1226" s="57"/>
      <c r="N1226" s="57"/>
      <c r="O1226" s="57"/>
      <c r="P1226" s="57"/>
      <c r="Q1226" s="57"/>
    </row>
    <row r="1227">
      <c r="A1227" s="60" t="s">
        <v>477</v>
      </c>
      <c r="B1227" s="60" t="s">
        <v>478</v>
      </c>
      <c r="C1227" s="57"/>
      <c r="D1227" s="57"/>
      <c r="E1227" s="57"/>
      <c r="F1227" s="57"/>
      <c r="G1227" s="57"/>
      <c r="H1227" s="57"/>
      <c r="I1227" s="57"/>
      <c r="J1227" s="57"/>
      <c r="K1227" s="63"/>
      <c r="L1227" s="57"/>
      <c r="M1227" s="57"/>
      <c r="N1227" s="57"/>
      <c r="O1227" s="57"/>
      <c r="P1227" s="57"/>
      <c r="Q1227" s="57"/>
    </row>
    <row r="1228">
      <c r="A1228" s="60" t="s">
        <v>479</v>
      </c>
      <c r="B1228" s="60" t="s">
        <v>478</v>
      </c>
      <c r="C1228" s="57"/>
      <c r="D1228" s="57"/>
      <c r="E1228" s="57"/>
      <c r="F1228" s="57"/>
      <c r="G1228" s="57"/>
      <c r="H1228" s="57"/>
      <c r="I1228" s="57"/>
      <c r="J1228" s="57"/>
      <c r="K1228" s="63"/>
      <c r="L1228" s="57"/>
      <c r="M1228" s="57"/>
      <c r="N1228" s="57"/>
      <c r="O1228" s="57"/>
      <c r="P1228" s="57"/>
      <c r="Q1228" s="57"/>
    </row>
    <row r="1229">
      <c r="A1229" s="76" t="s">
        <v>224</v>
      </c>
      <c r="B1229" s="60" t="s">
        <v>459</v>
      </c>
      <c r="C1229" s="57"/>
      <c r="D1229" s="57"/>
      <c r="E1229" s="57"/>
      <c r="F1229" s="57"/>
      <c r="G1229" s="57"/>
      <c r="H1229" s="57"/>
      <c r="I1229" s="57"/>
      <c r="J1229" s="57"/>
      <c r="K1229" s="63"/>
      <c r="L1229" s="57"/>
      <c r="M1229" s="57"/>
      <c r="N1229" s="57"/>
      <c r="O1229" s="57"/>
      <c r="P1229" s="57"/>
      <c r="Q1229" s="57"/>
    </row>
    <row r="1230">
      <c r="A1230" s="60" t="s">
        <v>24</v>
      </c>
      <c r="B1230" s="60"/>
      <c r="C1230" s="57"/>
      <c r="D1230" s="57"/>
      <c r="E1230" s="57"/>
      <c r="F1230" s="57"/>
      <c r="G1230" s="57"/>
      <c r="H1230" s="65">
        <v>72.0</v>
      </c>
      <c r="I1230" s="57">
        <f>ROUNDDOWN(H1230*1.1,0)</f>
        <v>79</v>
      </c>
      <c r="J1230" s="57">
        <f>ROUNDDOWN(H1230*1.21,0)</f>
        <v>87</v>
      </c>
      <c r="K1230" s="63">
        <f>ROUNDDOWN(H1230*1.33,0)</f>
        <v>95</v>
      </c>
      <c r="L1230" s="57">
        <f>ROUNDDOWN(H1230*1.46,0)</f>
        <v>105</v>
      </c>
      <c r="M1230" s="57">
        <f>ROUNDDOWN(H1230*1.6,0)</f>
        <v>115</v>
      </c>
      <c r="N1230" s="57">
        <f>ROUNDDOWN(H1230*1.76,0)</f>
        <v>126</v>
      </c>
      <c r="O1230" s="57">
        <f>ROUNDDOWN(H1230*1.93,0)</f>
        <v>138</v>
      </c>
      <c r="P1230" s="57">
        <f>ROUNDDOWN(H1230*2.12,0)</f>
        <v>152</v>
      </c>
      <c r="Q1230" s="57"/>
    </row>
    <row r="1231">
      <c r="A1231" s="60" t="s">
        <v>31</v>
      </c>
      <c r="B1231" s="60"/>
      <c r="C1231" s="57"/>
      <c r="D1231" s="57"/>
      <c r="E1231" s="57"/>
      <c r="F1231" s="57"/>
      <c r="G1231" s="57"/>
      <c r="H1231" s="65">
        <f t="shared" ref="H1231:P1231" si="527">ROUNDUP(H1230*0.3,0)</f>
        <v>22</v>
      </c>
      <c r="I1231" s="65">
        <f t="shared" si="527"/>
        <v>24</v>
      </c>
      <c r="J1231" s="65">
        <f t="shared" si="527"/>
        <v>27</v>
      </c>
      <c r="K1231" s="66">
        <f t="shared" si="527"/>
        <v>29</v>
      </c>
      <c r="L1231" s="65">
        <f t="shared" si="527"/>
        <v>32</v>
      </c>
      <c r="M1231" s="65">
        <f t="shared" si="527"/>
        <v>35</v>
      </c>
      <c r="N1231" s="65">
        <f t="shared" si="527"/>
        <v>38</v>
      </c>
      <c r="O1231" s="65">
        <f t="shared" si="527"/>
        <v>42</v>
      </c>
      <c r="P1231" s="65">
        <f t="shared" si="527"/>
        <v>46</v>
      </c>
      <c r="Q1231" s="57"/>
    </row>
    <row r="1232">
      <c r="A1232" s="60" t="s">
        <v>62</v>
      </c>
      <c r="B1232" s="60" t="s">
        <v>656</v>
      </c>
      <c r="C1232" s="57"/>
      <c r="D1232" s="57"/>
      <c r="E1232" s="57"/>
      <c r="F1232" s="57"/>
      <c r="G1232" s="57"/>
      <c r="H1232" s="65"/>
      <c r="I1232" s="65"/>
      <c r="J1232" s="65"/>
      <c r="K1232" s="66"/>
      <c r="L1232" s="65"/>
      <c r="M1232" s="65"/>
      <c r="N1232" s="65"/>
      <c r="O1232" s="65"/>
      <c r="P1232" s="65"/>
      <c r="Q1232" s="57"/>
    </row>
    <row r="1233">
      <c r="A1233" s="60" t="s">
        <v>80</v>
      </c>
      <c r="B1233" s="60" t="s">
        <v>498</v>
      </c>
      <c r="C1233" s="57"/>
      <c r="D1233" s="57"/>
      <c r="E1233" s="57"/>
      <c r="F1233" s="57"/>
      <c r="G1233" s="57"/>
      <c r="H1233" s="57"/>
      <c r="I1233" s="57"/>
      <c r="J1233" s="57"/>
      <c r="K1233" s="63"/>
      <c r="L1233" s="57"/>
      <c r="M1233" s="57"/>
      <c r="N1233" s="57"/>
      <c r="O1233" s="57"/>
      <c r="P1233" s="57"/>
      <c r="Q1233" s="57"/>
    </row>
    <row r="1234">
      <c r="A1234" s="60" t="s">
        <v>597</v>
      </c>
      <c r="B1234" s="82">
        <v>-1.0</v>
      </c>
      <c r="C1234" s="57"/>
      <c r="D1234" s="57"/>
      <c r="E1234" s="57"/>
      <c r="F1234" s="57"/>
      <c r="G1234" s="57"/>
      <c r="H1234" s="57"/>
      <c r="I1234" s="57"/>
      <c r="J1234" s="57"/>
      <c r="K1234" s="63"/>
      <c r="L1234" s="57"/>
      <c r="M1234" s="57"/>
      <c r="N1234" s="57"/>
      <c r="O1234" s="57"/>
      <c r="P1234" s="57"/>
      <c r="Q1234" s="57"/>
    </row>
    <row r="1235">
      <c r="A1235" s="60" t="s">
        <v>50</v>
      </c>
      <c r="B1235" s="60" t="s">
        <v>425</v>
      </c>
      <c r="C1235" s="57"/>
      <c r="D1235" s="57"/>
      <c r="E1235" s="57"/>
      <c r="F1235" s="57"/>
      <c r="G1235" s="57"/>
      <c r="H1235" s="57"/>
      <c r="I1235" s="57"/>
      <c r="J1235" s="57"/>
      <c r="K1235" s="63"/>
      <c r="L1235" s="57"/>
      <c r="M1235" s="57"/>
      <c r="N1235" s="57"/>
      <c r="O1235" s="57"/>
      <c r="P1235" s="57"/>
      <c r="Q1235" s="57"/>
    </row>
    <row r="1236">
      <c r="A1236" s="76" t="s">
        <v>326</v>
      </c>
      <c r="B1236" s="60" t="s">
        <v>468</v>
      </c>
      <c r="C1236" s="57"/>
      <c r="D1236" s="57"/>
      <c r="E1236" s="57"/>
      <c r="F1236" s="57"/>
      <c r="G1236" s="57"/>
      <c r="H1236" s="57"/>
      <c r="I1236" s="57"/>
      <c r="J1236" s="57"/>
      <c r="K1236" s="63"/>
      <c r="L1236" s="57"/>
      <c r="M1236" s="57"/>
      <c r="N1236" s="57"/>
      <c r="O1236" s="57"/>
      <c r="P1236" s="57"/>
      <c r="Q1236" s="57"/>
    </row>
    <row r="1237">
      <c r="A1237" s="60" t="s">
        <v>38</v>
      </c>
      <c r="B1237" s="26"/>
      <c r="C1237" s="57"/>
      <c r="D1237" s="57"/>
      <c r="E1237" s="57"/>
      <c r="F1237" s="57"/>
      <c r="G1237" s="57"/>
      <c r="H1237" s="65">
        <v>1300.0</v>
      </c>
      <c r="I1237" s="57">
        <f t="shared" ref="I1237:I1238" si="528">ROUNDDOWN(H1237*1.1,0)</f>
        <v>1430</v>
      </c>
      <c r="J1237" s="57">
        <f t="shared" ref="J1237:J1238" si="529">ROUNDDOWN(H1237*1.21,0)</f>
        <v>1573</v>
      </c>
      <c r="K1237" s="63">
        <f t="shared" ref="K1237:K1238" si="530">ROUNDDOWN(H1237*1.33,0)</f>
        <v>1729</v>
      </c>
      <c r="L1237" s="57">
        <f t="shared" ref="L1237:L1238" si="531">ROUNDDOWN(H1237*1.46,0)</f>
        <v>1898</v>
      </c>
      <c r="M1237" s="57">
        <f t="shared" ref="M1237:M1238" si="532">ROUNDDOWN(H1237*1.6,0)</f>
        <v>2080</v>
      </c>
      <c r="N1237" s="57">
        <f t="shared" ref="N1237:N1238" si="533">ROUNDDOWN(H1237*1.76,0)</f>
        <v>2288</v>
      </c>
      <c r="O1237" s="57">
        <f t="shared" ref="O1237:O1238" si="534">ROUNDDOWN(H1237*1.93,0)</f>
        <v>2509</v>
      </c>
      <c r="P1237" s="57">
        <f t="shared" ref="P1237:P1238" si="535">ROUNDDOWN(H1237*2.12,0)</f>
        <v>2756</v>
      </c>
      <c r="Q1237" s="57"/>
    </row>
    <row r="1238">
      <c r="A1238" s="60" t="s">
        <v>24</v>
      </c>
      <c r="B1238" s="26"/>
      <c r="C1238" s="57"/>
      <c r="D1238" s="57"/>
      <c r="E1238" s="57"/>
      <c r="F1238" s="57"/>
      <c r="G1238" s="57"/>
      <c r="H1238" s="65">
        <v>180.0</v>
      </c>
      <c r="I1238" s="57">
        <f t="shared" si="528"/>
        <v>198</v>
      </c>
      <c r="J1238" s="57">
        <f t="shared" si="529"/>
        <v>217</v>
      </c>
      <c r="K1238" s="63">
        <f t="shared" si="530"/>
        <v>239</v>
      </c>
      <c r="L1238" s="57">
        <f t="shared" si="531"/>
        <v>262</v>
      </c>
      <c r="M1238" s="57">
        <f t="shared" si="532"/>
        <v>288</v>
      </c>
      <c r="N1238" s="57">
        <f t="shared" si="533"/>
        <v>316</v>
      </c>
      <c r="O1238" s="57">
        <f t="shared" si="534"/>
        <v>347</v>
      </c>
      <c r="P1238" s="57">
        <f t="shared" si="535"/>
        <v>381</v>
      </c>
      <c r="Q1238" s="57"/>
    </row>
    <row r="1239">
      <c r="A1239" s="60" t="s">
        <v>428</v>
      </c>
      <c r="B1239" s="60" t="s">
        <v>429</v>
      </c>
      <c r="C1239" s="57"/>
      <c r="D1239" s="57"/>
      <c r="E1239" s="57"/>
      <c r="F1239" s="57"/>
      <c r="G1239" s="57"/>
      <c r="H1239" s="57"/>
      <c r="I1239" s="57"/>
      <c r="J1239" s="57"/>
      <c r="K1239" s="63"/>
      <c r="L1239" s="57"/>
      <c r="M1239" s="57"/>
      <c r="N1239" s="57"/>
      <c r="O1239" s="57"/>
      <c r="P1239" s="57"/>
      <c r="Q1239" s="57"/>
    </row>
    <row r="1240">
      <c r="A1240" s="60" t="s">
        <v>55</v>
      </c>
      <c r="B1240" s="60" t="s">
        <v>430</v>
      </c>
      <c r="C1240" s="57"/>
      <c r="D1240" s="57"/>
      <c r="E1240" s="57"/>
      <c r="F1240" s="57"/>
      <c r="G1240" s="57"/>
      <c r="H1240" s="57"/>
      <c r="I1240" s="57"/>
      <c r="J1240" s="57"/>
      <c r="K1240" s="63"/>
      <c r="L1240" s="57"/>
      <c r="M1240" s="57"/>
      <c r="N1240" s="57"/>
      <c r="O1240" s="57"/>
      <c r="P1240" s="57"/>
      <c r="Q1240" s="57"/>
    </row>
    <row r="1241">
      <c r="A1241" s="60" t="s">
        <v>51</v>
      </c>
      <c r="B1241" s="60" t="s">
        <v>470</v>
      </c>
      <c r="C1241" s="57"/>
      <c r="D1241" s="57"/>
      <c r="E1241" s="57"/>
      <c r="F1241" s="57"/>
      <c r="G1241" s="57"/>
      <c r="H1241" s="57"/>
      <c r="I1241" s="57"/>
      <c r="J1241" s="57"/>
      <c r="K1241" s="63"/>
      <c r="L1241" s="57"/>
      <c r="M1241" s="57"/>
      <c r="N1241" s="57"/>
      <c r="O1241" s="57"/>
      <c r="P1241" s="57"/>
      <c r="Q1241" s="57"/>
    </row>
    <row r="1242">
      <c r="A1242" s="60" t="s">
        <v>49</v>
      </c>
      <c r="B1242" s="60" t="s">
        <v>574</v>
      </c>
      <c r="C1242" s="57"/>
      <c r="D1242" s="57"/>
      <c r="E1242" s="57"/>
      <c r="F1242" s="57"/>
      <c r="G1242" s="57"/>
      <c r="H1242" s="57"/>
      <c r="I1242" s="57"/>
      <c r="J1242" s="57"/>
      <c r="K1242" s="63"/>
      <c r="L1242" s="57"/>
      <c r="M1242" s="57"/>
      <c r="N1242" s="57"/>
      <c r="O1242" s="57"/>
      <c r="P1242" s="57"/>
      <c r="Q1242" s="57"/>
    </row>
    <row r="1243">
      <c r="A1243" s="60" t="s">
        <v>432</v>
      </c>
      <c r="B1243" s="60" t="s">
        <v>602</v>
      </c>
      <c r="C1243" s="57"/>
      <c r="D1243" s="57"/>
      <c r="E1243" s="57"/>
      <c r="F1243" s="57"/>
      <c r="G1243" s="57"/>
      <c r="H1243" s="57"/>
      <c r="I1243" s="57"/>
      <c r="J1243" s="57"/>
      <c r="K1243" s="63"/>
      <c r="L1243" s="57"/>
      <c r="M1243" s="57"/>
      <c r="N1243" s="57"/>
      <c r="O1243" s="57"/>
      <c r="P1243" s="57"/>
      <c r="Q1243" s="57"/>
    </row>
    <row r="1244">
      <c r="A1244" s="60" t="s">
        <v>422</v>
      </c>
      <c r="B1244" s="60" t="s">
        <v>719</v>
      </c>
      <c r="C1244" s="57"/>
      <c r="D1244" s="57"/>
      <c r="E1244" s="57"/>
      <c r="F1244" s="57"/>
      <c r="G1244" s="57"/>
      <c r="H1244" s="57"/>
      <c r="I1244" s="57"/>
      <c r="J1244" s="57"/>
      <c r="K1244" s="63"/>
      <c r="L1244" s="57"/>
      <c r="M1244" s="57"/>
      <c r="N1244" s="57"/>
      <c r="O1244" s="57"/>
      <c r="P1244" s="57"/>
      <c r="Q1244" s="57"/>
    </row>
    <row r="1245">
      <c r="A1245" s="60" t="s">
        <v>435</v>
      </c>
      <c r="B1245" s="60" t="s">
        <v>472</v>
      </c>
      <c r="C1245" s="57"/>
      <c r="D1245" s="57"/>
      <c r="E1245" s="57"/>
      <c r="F1245" s="57"/>
      <c r="G1245" s="57"/>
      <c r="H1245" s="57"/>
      <c r="I1245" s="57"/>
      <c r="J1245" s="57"/>
      <c r="K1245" s="63"/>
      <c r="L1245" s="57"/>
      <c r="M1245" s="57"/>
      <c r="N1245" s="57"/>
      <c r="O1245" s="57"/>
      <c r="P1245" s="57"/>
      <c r="Q1245" s="57"/>
    </row>
    <row r="1246">
      <c r="A1246" s="60" t="s">
        <v>460</v>
      </c>
      <c r="B1246" s="60" t="s">
        <v>505</v>
      </c>
      <c r="C1246" s="57"/>
      <c r="D1246" s="57"/>
      <c r="E1246" s="57"/>
      <c r="F1246" s="57"/>
      <c r="G1246" s="57"/>
      <c r="H1246" s="57"/>
      <c r="I1246" s="57"/>
      <c r="J1246" s="57"/>
      <c r="K1246" s="63"/>
      <c r="L1246" s="57"/>
      <c r="M1246" s="57"/>
      <c r="N1246" s="57"/>
      <c r="O1246" s="57"/>
      <c r="P1246" s="57"/>
      <c r="Q1246" s="57"/>
    </row>
    <row r="1247">
      <c r="A1247" s="60" t="s">
        <v>483</v>
      </c>
      <c r="B1247" s="60" t="s">
        <v>461</v>
      </c>
      <c r="C1247" s="57"/>
      <c r="D1247" s="57"/>
      <c r="E1247" s="57"/>
      <c r="F1247" s="57"/>
      <c r="G1247" s="57"/>
      <c r="H1247" s="57"/>
      <c r="I1247" s="57"/>
      <c r="J1247" s="57"/>
      <c r="K1247" s="63"/>
      <c r="L1247" s="57"/>
      <c r="M1247" s="57"/>
      <c r="N1247" s="57"/>
      <c r="O1247" s="57"/>
      <c r="P1247" s="57"/>
      <c r="Q1247" s="57"/>
    </row>
    <row r="1248">
      <c r="A1248" s="60" t="s">
        <v>523</v>
      </c>
      <c r="B1248" s="60" t="s">
        <v>505</v>
      </c>
      <c r="C1248" s="57"/>
      <c r="D1248" s="57"/>
      <c r="E1248" s="57"/>
      <c r="F1248" s="57"/>
      <c r="G1248" s="57"/>
      <c r="H1248" s="57"/>
      <c r="I1248" s="57"/>
      <c r="J1248" s="57"/>
      <c r="K1248" s="63"/>
      <c r="L1248" s="57"/>
      <c r="M1248" s="57"/>
      <c r="N1248" s="57"/>
      <c r="O1248" s="57"/>
      <c r="P1248" s="57"/>
      <c r="Q1248" s="57"/>
    </row>
    <row r="1249">
      <c r="A1249" s="60" t="s">
        <v>54</v>
      </c>
      <c r="B1249" s="60" t="s">
        <v>469</v>
      </c>
      <c r="C1249" s="57"/>
      <c r="D1249" s="57"/>
      <c r="E1249" s="57"/>
      <c r="F1249" s="57"/>
      <c r="G1249" s="57"/>
      <c r="H1249" s="57"/>
      <c r="I1249" s="57"/>
      <c r="J1249" s="57"/>
      <c r="K1249" s="63"/>
      <c r="L1249" s="57"/>
      <c r="M1249" s="57"/>
      <c r="N1249" s="57"/>
      <c r="O1249" s="57"/>
      <c r="P1249" s="57"/>
      <c r="Q1249" s="57"/>
    </row>
    <row r="1250">
      <c r="A1250" s="60" t="s">
        <v>53</v>
      </c>
      <c r="B1250" s="60" t="s">
        <v>424</v>
      </c>
      <c r="C1250" s="57"/>
      <c r="D1250" s="57"/>
      <c r="E1250" s="57"/>
      <c r="F1250" s="57"/>
      <c r="G1250" s="57"/>
      <c r="H1250" s="57"/>
      <c r="I1250" s="57"/>
      <c r="J1250" s="57"/>
      <c r="K1250" s="63"/>
      <c r="L1250" s="57"/>
      <c r="M1250" s="57"/>
      <c r="N1250" s="57"/>
      <c r="O1250" s="57"/>
      <c r="P1250" s="57"/>
      <c r="Q1250" s="57"/>
    </row>
    <row r="1251">
      <c r="A1251" s="60" t="s">
        <v>50</v>
      </c>
      <c r="B1251" s="60" t="s">
        <v>98</v>
      </c>
      <c r="C1251" s="57"/>
      <c r="D1251" s="57"/>
      <c r="E1251" s="57"/>
      <c r="F1251" s="57"/>
      <c r="G1251" s="57"/>
      <c r="H1251" s="57"/>
      <c r="I1251" s="57"/>
      <c r="J1251" s="57"/>
      <c r="K1251" s="63"/>
      <c r="L1251" s="57"/>
      <c r="M1251" s="57"/>
      <c r="N1251" s="57"/>
      <c r="O1251" s="57"/>
      <c r="P1251" s="57"/>
      <c r="Q1251" s="57"/>
    </row>
    <row r="1252">
      <c r="A1252" s="60" t="s">
        <v>438</v>
      </c>
      <c r="B1252" s="60" t="s">
        <v>472</v>
      </c>
      <c r="C1252" s="57"/>
      <c r="D1252" s="57"/>
      <c r="E1252" s="57"/>
      <c r="F1252" s="57"/>
      <c r="G1252" s="57"/>
      <c r="H1252" s="57"/>
      <c r="I1252" s="57"/>
      <c r="J1252" s="57"/>
      <c r="K1252" s="63"/>
      <c r="L1252" s="57"/>
      <c r="M1252" s="57"/>
      <c r="N1252" s="57"/>
      <c r="O1252" s="57"/>
      <c r="P1252" s="57"/>
      <c r="Q1252" s="57"/>
    </row>
    <row r="1253">
      <c r="A1253" s="60" t="s">
        <v>439</v>
      </c>
      <c r="B1253" s="60" t="s">
        <v>473</v>
      </c>
      <c r="C1253" s="57"/>
      <c r="D1253" s="57"/>
      <c r="E1253" s="57"/>
      <c r="F1253" s="57"/>
      <c r="G1253" s="57"/>
      <c r="H1253" s="57"/>
      <c r="I1253" s="57"/>
      <c r="J1253" s="57"/>
      <c r="K1253" s="63"/>
      <c r="L1253" s="57"/>
      <c r="M1253" s="57"/>
      <c r="N1253" s="57"/>
      <c r="O1253" s="57"/>
      <c r="P1253" s="57"/>
      <c r="Q1253" s="57"/>
    </row>
    <row r="1254">
      <c r="A1254" s="60" t="s">
        <v>441</v>
      </c>
      <c r="B1254" s="60">
        <v>18.0</v>
      </c>
      <c r="C1254" s="57"/>
      <c r="D1254" s="57"/>
      <c r="E1254" s="57"/>
      <c r="F1254" s="57"/>
      <c r="G1254" s="57"/>
      <c r="H1254" s="57"/>
      <c r="I1254" s="57"/>
      <c r="J1254" s="57"/>
      <c r="K1254" s="63"/>
      <c r="L1254" s="57"/>
      <c r="M1254" s="57"/>
      <c r="N1254" s="57"/>
      <c r="O1254" s="57"/>
      <c r="P1254" s="57"/>
      <c r="Q1254" s="57"/>
    </row>
    <row r="1255">
      <c r="A1255" s="60" t="s">
        <v>444</v>
      </c>
      <c r="B1255" s="60" t="s">
        <v>505</v>
      </c>
      <c r="C1255" s="57"/>
      <c r="D1255" s="57"/>
      <c r="E1255" s="57"/>
      <c r="F1255" s="57"/>
      <c r="G1255" s="57"/>
      <c r="H1255" s="57"/>
      <c r="I1255" s="57"/>
      <c r="J1255" s="57"/>
      <c r="K1255" s="63"/>
      <c r="L1255" s="57"/>
      <c r="M1255" s="57"/>
      <c r="N1255" s="57"/>
      <c r="O1255" s="57"/>
      <c r="P1255" s="57"/>
      <c r="Q1255" s="57"/>
    </row>
    <row r="1256">
      <c r="A1256" s="60" t="s">
        <v>446</v>
      </c>
      <c r="B1256" s="60" t="s">
        <v>505</v>
      </c>
      <c r="C1256" s="57"/>
      <c r="D1256" s="57"/>
      <c r="E1256" s="57"/>
      <c r="F1256" s="57"/>
      <c r="G1256" s="57"/>
      <c r="H1256" s="57"/>
      <c r="I1256" s="57"/>
      <c r="J1256" s="57"/>
      <c r="K1256" s="63"/>
      <c r="L1256" s="57"/>
      <c r="M1256" s="57"/>
      <c r="N1256" s="57"/>
      <c r="O1256" s="57"/>
      <c r="P1256" s="57"/>
      <c r="Q1256" s="57"/>
    </row>
    <row r="1257">
      <c r="A1257" s="83" t="s">
        <v>389</v>
      </c>
      <c r="B1257" s="60" t="s">
        <v>459</v>
      </c>
      <c r="C1257" s="57"/>
      <c r="D1257" s="57"/>
      <c r="E1257" s="57"/>
      <c r="F1257" s="57"/>
      <c r="G1257" s="57"/>
      <c r="H1257" s="57"/>
      <c r="I1257" s="57"/>
      <c r="J1257" s="57"/>
      <c r="K1257" s="63"/>
      <c r="L1257" s="57"/>
      <c r="M1257" s="57"/>
      <c r="N1257" s="57"/>
      <c r="O1257" s="57"/>
      <c r="P1257" s="57"/>
      <c r="Q1257" s="57"/>
    </row>
    <row r="1258">
      <c r="A1258" s="60" t="s">
        <v>38</v>
      </c>
      <c r="B1258" s="60"/>
      <c r="C1258" s="57"/>
      <c r="D1258" s="57"/>
      <c r="E1258" s="57"/>
      <c r="F1258" s="57"/>
      <c r="G1258" s="57"/>
      <c r="H1258" s="57"/>
      <c r="I1258" s="57"/>
      <c r="J1258" s="57"/>
      <c r="K1258" s="66">
        <v>1060.0</v>
      </c>
      <c r="L1258" s="57">
        <f t="shared" ref="L1258:L1259" si="536">ROUNDDOWN(K1258*1.1,0)</f>
        <v>1166</v>
      </c>
      <c r="M1258" s="57">
        <f t="shared" ref="M1258:M1259" si="537">ROUNDDOWN(K1258*1.21,0)</f>
        <v>1282</v>
      </c>
      <c r="N1258" s="57">
        <f t="shared" ref="N1258:N1259" si="538">ROUNDDOWN(K1258*1.33,0)</f>
        <v>1409</v>
      </c>
      <c r="O1258" s="57">
        <f t="shared" ref="O1258:O1259" si="539">ROUNDDOWN(K1258*1.46,0)</f>
        <v>1547</v>
      </c>
      <c r="P1258" s="57">
        <f t="shared" ref="P1258:P1259" si="540">ROUNDDOWN(K1258*1.57,0)</f>
        <v>1664</v>
      </c>
      <c r="Q1258" s="57"/>
    </row>
    <row r="1259">
      <c r="A1259" s="60" t="s">
        <v>24</v>
      </c>
      <c r="B1259" s="60"/>
      <c r="C1259" s="57"/>
      <c r="D1259" s="57"/>
      <c r="E1259" s="57"/>
      <c r="F1259" s="57"/>
      <c r="G1259" s="57"/>
      <c r="H1259" s="57"/>
      <c r="I1259" s="57"/>
      <c r="J1259" s="57"/>
      <c r="K1259" s="66">
        <v>200.0</v>
      </c>
      <c r="L1259" s="57">
        <f t="shared" si="536"/>
        <v>220</v>
      </c>
      <c r="M1259" s="57">
        <f t="shared" si="537"/>
        <v>242</v>
      </c>
      <c r="N1259" s="57">
        <f t="shared" si="538"/>
        <v>266</v>
      </c>
      <c r="O1259" s="57">
        <f t="shared" si="539"/>
        <v>292</v>
      </c>
      <c r="P1259" s="57">
        <f t="shared" si="540"/>
        <v>314</v>
      </c>
      <c r="Q1259" s="57"/>
    </row>
    <row r="1260">
      <c r="A1260" s="60" t="s">
        <v>720</v>
      </c>
      <c r="B1260" s="26"/>
      <c r="C1260" s="57"/>
      <c r="D1260" s="57"/>
      <c r="E1260" s="57"/>
      <c r="F1260" s="57"/>
      <c r="G1260" s="57"/>
      <c r="H1260" s="57"/>
      <c r="I1260" s="57"/>
      <c r="J1260" s="57"/>
      <c r="K1260" s="66" t="s">
        <v>721</v>
      </c>
      <c r="L1260" s="65" t="s">
        <v>644</v>
      </c>
      <c r="M1260" s="65" t="s">
        <v>711</v>
      </c>
      <c r="N1260" s="65" t="s">
        <v>722</v>
      </c>
      <c r="O1260" s="65" t="s">
        <v>723</v>
      </c>
      <c r="P1260" s="65" t="s">
        <v>724</v>
      </c>
      <c r="Q1260" s="57"/>
    </row>
    <row r="1261">
      <c r="A1261" s="60" t="s">
        <v>428</v>
      </c>
      <c r="B1261" s="60" t="s">
        <v>429</v>
      </c>
      <c r="C1261" s="75"/>
      <c r="D1261" s="57"/>
      <c r="E1261" s="57"/>
      <c r="F1261" s="57"/>
      <c r="G1261" s="57"/>
      <c r="H1261" s="57"/>
      <c r="I1261" s="57"/>
      <c r="J1261" s="57"/>
      <c r="K1261" s="63"/>
      <c r="L1261" s="57"/>
      <c r="M1261" s="57"/>
      <c r="N1261" s="57"/>
      <c r="O1261" s="57"/>
      <c r="P1261" s="57"/>
      <c r="Q1261" s="57"/>
    </row>
    <row r="1262">
      <c r="A1262" s="60" t="s">
        <v>55</v>
      </c>
      <c r="B1262" s="60" t="s">
        <v>430</v>
      </c>
      <c r="C1262" s="75"/>
      <c r="D1262" s="57"/>
      <c r="E1262" s="57"/>
      <c r="F1262" s="57"/>
      <c r="G1262" s="57"/>
      <c r="H1262" s="57"/>
      <c r="I1262" s="57"/>
      <c r="J1262" s="57"/>
      <c r="K1262" s="63"/>
      <c r="L1262" s="57"/>
      <c r="M1262" s="57"/>
      <c r="N1262" s="57"/>
      <c r="O1262" s="57"/>
      <c r="P1262" s="57"/>
      <c r="Q1262" s="57"/>
    </row>
    <row r="1263">
      <c r="A1263" s="60" t="s">
        <v>51</v>
      </c>
      <c r="B1263" s="60" t="s">
        <v>482</v>
      </c>
      <c r="C1263" s="75"/>
      <c r="D1263" s="57"/>
      <c r="E1263" s="57"/>
      <c r="F1263" s="57"/>
      <c r="G1263" s="57"/>
      <c r="H1263" s="57"/>
      <c r="I1263" s="57"/>
      <c r="J1263" s="57"/>
      <c r="K1263" s="63"/>
      <c r="L1263" s="57"/>
      <c r="M1263" s="57"/>
      <c r="N1263" s="57"/>
      <c r="O1263" s="57"/>
      <c r="P1263" s="57"/>
      <c r="Q1263" s="57"/>
    </row>
    <row r="1264">
      <c r="A1264" s="60" t="s">
        <v>49</v>
      </c>
      <c r="B1264" s="60" t="s">
        <v>683</v>
      </c>
      <c r="C1264" s="75"/>
      <c r="D1264" s="57"/>
      <c r="E1264" s="57"/>
      <c r="F1264" s="57"/>
      <c r="G1264" s="57"/>
      <c r="H1264" s="57"/>
      <c r="I1264" s="57"/>
      <c r="J1264" s="57"/>
      <c r="K1264" s="63"/>
      <c r="L1264" s="57"/>
      <c r="M1264" s="57"/>
      <c r="N1264" s="57"/>
      <c r="O1264" s="57"/>
      <c r="P1264" s="57"/>
      <c r="Q1264" s="57"/>
    </row>
    <row r="1265">
      <c r="A1265" s="60" t="s">
        <v>432</v>
      </c>
      <c r="B1265" s="60" t="s">
        <v>448</v>
      </c>
      <c r="C1265" s="75"/>
      <c r="D1265" s="57"/>
      <c r="E1265" s="57"/>
      <c r="F1265" s="57"/>
      <c r="G1265" s="57"/>
      <c r="H1265" s="57"/>
      <c r="I1265" s="57"/>
      <c r="J1265" s="57"/>
      <c r="K1265" s="63"/>
      <c r="L1265" s="57"/>
      <c r="M1265" s="57"/>
      <c r="N1265" s="57"/>
      <c r="O1265" s="57"/>
      <c r="P1265" s="57"/>
      <c r="Q1265" s="57"/>
    </row>
    <row r="1266">
      <c r="A1266" s="60" t="s">
        <v>53</v>
      </c>
      <c r="B1266" s="60" t="s">
        <v>549</v>
      </c>
      <c r="C1266" s="75"/>
      <c r="D1266" s="57"/>
      <c r="E1266" s="57"/>
      <c r="F1266" s="57"/>
      <c r="G1266" s="57"/>
      <c r="H1266" s="57"/>
      <c r="I1266" s="57"/>
      <c r="J1266" s="57"/>
      <c r="K1266" s="63"/>
      <c r="L1266" s="57"/>
      <c r="M1266" s="57"/>
      <c r="N1266" s="57"/>
      <c r="O1266" s="57"/>
      <c r="P1266" s="57"/>
      <c r="Q1266" s="57"/>
    </row>
    <row r="1267">
      <c r="A1267" s="60" t="s">
        <v>50</v>
      </c>
      <c r="B1267" s="60" t="s">
        <v>98</v>
      </c>
      <c r="C1267" s="75"/>
      <c r="D1267" s="57"/>
      <c r="E1267" s="57"/>
      <c r="F1267" s="57"/>
      <c r="G1267" s="57"/>
      <c r="H1267" s="57"/>
      <c r="I1267" s="57"/>
      <c r="J1267" s="57"/>
      <c r="K1267" s="63"/>
      <c r="L1267" s="57"/>
      <c r="M1267" s="57"/>
      <c r="N1267" s="57"/>
      <c r="O1267" s="57"/>
      <c r="P1267" s="57"/>
      <c r="Q1267" s="57"/>
    </row>
    <row r="1268">
      <c r="A1268" s="60" t="s">
        <v>438</v>
      </c>
      <c r="B1268" s="60" t="s">
        <v>436</v>
      </c>
      <c r="C1268" s="75"/>
      <c r="D1268" s="57"/>
      <c r="E1268" s="57"/>
      <c r="F1268" s="57"/>
      <c r="G1268" s="57"/>
      <c r="H1268" s="57"/>
      <c r="I1268" s="57"/>
      <c r="J1268" s="57"/>
      <c r="K1268" s="63"/>
      <c r="L1268" s="57"/>
      <c r="M1268" s="57"/>
      <c r="N1268" s="57"/>
      <c r="O1268" s="57"/>
      <c r="P1268" s="57"/>
      <c r="Q1268" s="57"/>
    </row>
    <row r="1269">
      <c r="A1269" s="60" t="s">
        <v>439</v>
      </c>
      <c r="B1269" s="60" t="s">
        <v>440</v>
      </c>
      <c r="C1269" s="75"/>
      <c r="D1269" s="57"/>
      <c r="E1269" s="57"/>
      <c r="F1269" s="57"/>
      <c r="G1269" s="57"/>
      <c r="H1269" s="57"/>
      <c r="I1269" s="57"/>
      <c r="J1269" s="57"/>
      <c r="K1269" s="63"/>
      <c r="L1269" s="57"/>
      <c r="M1269" s="57"/>
      <c r="N1269" s="57"/>
      <c r="O1269" s="57"/>
      <c r="P1269" s="57"/>
      <c r="Q1269" s="57"/>
    </row>
    <row r="1270">
      <c r="A1270" s="60" t="s">
        <v>441</v>
      </c>
      <c r="B1270" s="60">
        <v>4.0</v>
      </c>
      <c r="C1270" s="75"/>
      <c r="D1270" s="57"/>
      <c r="E1270" s="57"/>
      <c r="F1270" s="57"/>
      <c r="G1270" s="57"/>
      <c r="H1270" s="57"/>
      <c r="I1270" s="57"/>
      <c r="J1270" s="57"/>
      <c r="K1270" s="63"/>
      <c r="L1270" s="57"/>
      <c r="M1270" s="57"/>
      <c r="N1270" s="57"/>
      <c r="O1270" s="57"/>
      <c r="P1270" s="57"/>
      <c r="Q1270" s="57"/>
    </row>
    <row r="1271">
      <c r="A1271" s="60" t="s">
        <v>725</v>
      </c>
      <c r="B1271" s="60" t="s">
        <v>433</v>
      </c>
      <c r="C1271" s="75"/>
      <c r="D1271" s="57"/>
      <c r="E1271" s="57"/>
      <c r="F1271" s="57"/>
      <c r="G1271" s="57"/>
      <c r="H1271" s="57"/>
      <c r="I1271" s="57"/>
      <c r="J1271" s="57"/>
      <c r="K1271" s="63"/>
      <c r="L1271" s="57"/>
      <c r="M1271" s="57"/>
      <c r="N1271" s="57"/>
      <c r="O1271" s="57"/>
      <c r="P1271" s="57"/>
      <c r="Q1271" s="57"/>
    </row>
    <row r="1272">
      <c r="A1272" s="60" t="s">
        <v>726</v>
      </c>
      <c r="B1272" s="81" t="s">
        <v>456</v>
      </c>
      <c r="C1272" s="57"/>
      <c r="D1272" s="57"/>
      <c r="E1272" s="57"/>
      <c r="F1272" s="57"/>
      <c r="G1272" s="57"/>
      <c r="H1272" s="57"/>
      <c r="I1272" s="57"/>
      <c r="J1272" s="57"/>
      <c r="K1272" s="63"/>
      <c r="L1272" s="57"/>
      <c r="M1272" s="57"/>
      <c r="N1272" s="57"/>
      <c r="O1272" s="57"/>
      <c r="P1272" s="57"/>
      <c r="Q1272" s="57"/>
    </row>
    <row r="1273">
      <c r="A1273" s="60" t="s">
        <v>727</v>
      </c>
      <c r="B1273" s="81" t="s">
        <v>466</v>
      </c>
      <c r="C1273" s="57"/>
      <c r="D1273" s="57"/>
      <c r="E1273" s="57"/>
      <c r="F1273" s="57"/>
      <c r="G1273" s="57"/>
      <c r="H1273" s="57"/>
      <c r="I1273" s="57"/>
      <c r="J1273" s="57"/>
      <c r="K1273" s="63"/>
      <c r="L1273" s="57"/>
      <c r="M1273" s="57"/>
      <c r="N1273" s="57"/>
      <c r="O1273" s="57"/>
      <c r="P1273" s="57"/>
      <c r="Q1273" s="57"/>
    </row>
    <row r="1274">
      <c r="A1274" s="60" t="s">
        <v>728</v>
      </c>
      <c r="B1274" s="84" t="s">
        <v>366</v>
      </c>
      <c r="C1274" s="57"/>
      <c r="D1274" s="57"/>
      <c r="E1274" s="57"/>
      <c r="F1274" s="57"/>
      <c r="G1274" s="57"/>
      <c r="H1274" s="57"/>
      <c r="I1274" s="57"/>
      <c r="J1274" s="57"/>
      <c r="K1274" s="63"/>
      <c r="L1274" s="57"/>
      <c r="M1274" s="57"/>
      <c r="N1274" s="57"/>
      <c r="O1274" s="57"/>
      <c r="P1274" s="57"/>
      <c r="Q1274" s="57"/>
    </row>
    <row r="1275">
      <c r="A1275" s="60" t="s">
        <v>729</v>
      </c>
      <c r="B1275" s="81" t="s">
        <v>602</v>
      </c>
      <c r="C1275" s="57"/>
      <c r="D1275" s="57"/>
      <c r="E1275" s="57"/>
      <c r="F1275" s="57"/>
      <c r="G1275" s="57"/>
      <c r="H1275" s="57"/>
      <c r="I1275" s="57"/>
      <c r="J1275" s="57"/>
      <c r="K1275" s="63"/>
      <c r="L1275" s="57"/>
      <c r="M1275" s="57"/>
      <c r="N1275" s="57"/>
      <c r="O1275" s="57"/>
      <c r="P1275" s="57"/>
      <c r="Q1275" s="57"/>
    </row>
    <row r="1276">
      <c r="A1276" s="60" t="s">
        <v>730</v>
      </c>
      <c r="B1276" s="60" t="s">
        <v>731</v>
      </c>
      <c r="C1276" s="57"/>
      <c r="D1276" s="57"/>
      <c r="E1276" s="57"/>
      <c r="F1276" s="57"/>
      <c r="G1276" s="57"/>
      <c r="H1276" s="57"/>
      <c r="I1276" s="57"/>
      <c r="J1276" s="57"/>
      <c r="K1276" s="63"/>
      <c r="L1276" s="57"/>
      <c r="M1276" s="57"/>
      <c r="N1276" s="57"/>
      <c r="O1276" s="57"/>
      <c r="P1276" s="57"/>
      <c r="Q1276" s="57"/>
    </row>
    <row r="1277">
      <c r="A1277" s="60" t="s">
        <v>444</v>
      </c>
      <c r="B1277" s="60" t="s">
        <v>445</v>
      </c>
      <c r="C1277" s="57"/>
      <c r="D1277" s="57"/>
      <c r="E1277" s="57"/>
      <c r="F1277" s="57"/>
      <c r="G1277" s="57"/>
      <c r="H1277" s="57"/>
      <c r="I1277" s="57"/>
      <c r="J1277" s="57"/>
      <c r="K1277" s="63"/>
      <c r="L1277" s="57"/>
      <c r="M1277" s="57"/>
      <c r="N1277" s="57"/>
      <c r="O1277" s="57"/>
      <c r="P1277" s="57"/>
      <c r="Q1277" s="57"/>
    </row>
    <row r="1278">
      <c r="A1278" s="60" t="s">
        <v>446</v>
      </c>
      <c r="B1278" s="60" t="s">
        <v>445</v>
      </c>
      <c r="C1278" s="57"/>
      <c r="D1278" s="57"/>
      <c r="E1278" s="57"/>
      <c r="F1278" s="57"/>
      <c r="G1278" s="57"/>
      <c r="H1278" s="57"/>
      <c r="I1278" s="57"/>
      <c r="J1278" s="57"/>
      <c r="K1278" s="63"/>
      <c r="L1278" s="57"/>
      <c r="M1278" s="57"/>
      <c r="N1278" s="57"/>
      <c r="O1278" s="57"/>
      <c r="P1278" s="57"/>
      <c r="Q1278" s="57"/>
    </row>
    <row r="1279">
      <c r="A1279" s="60" t="s">
        <v>447</v>
      </c>
      <c r="B1279" s="60" t="s">
        <v>448</v>
      </c>
      <c r="C1279" s="57"/>
      <c r="D1279" s="57"/>
      <c r="E1279" s="57"/>
      <c r="F1279" s="57"/>
      <c r="G1279" s="57"/>
      <c r="H1279" s="57"/>
      <c r="I1279" s="57"/>
      <c r="J1279" s="57"/>
      <c r="K1279" s="63"/>
      <c r="L1279" s="57"/>
      <c r="M1279" s="57"/>
      <c r="N1279" s="57"/>
      <c r="O1279" s="57"/>
      <c r="P1279" s="57"/>
      <c r="Q1279" s="57"/>
    </row>
    <row r="1280">
      <c r="A1280" s="83" t="s">
        <v>226</v>
      </c>
      <c r="B1280" s="60" t="s">
        <v>416</v>
      </c>
      <c r="C1280" s="57"/>
      <c r="D1280" s="57"/>
      <c r="E1280" s="57"/>
      <c r="F1280" s="57"/>
      <c r="G1280" s="57"/>
      <c r="H1280" s="57"/>
      <c r="I1280" s="57"/>
      <c r="J1280" s="57"/>
      <c r="K1280" s="63"/>
      <c r="L1280" s="57"/>
      <c r="M1280" s="57"/>
      <c r="N1280" s="57"/>
      <c r="O1280" s="57"/>
      <c r="P1280" s="57"/>
      <c r="Q1280" s="57"/>
    </row>
    <row r="1281">
      <c r="A1281" s="60" t="s">
        <v>38</v>
      </c>
      <c r="B1281" s="60"/>
      <c r="C1281" s="57"/>
      <c r="D1281" s="57"/>
      <c r="E1281" s="57"/>
      <c r="F1281" s="57"/>
      <c r="G1281" s="57"/>
      <c r="H1281" s="57"/>
      <c r="I1281" s="57"/>
      <c r="J1281" s="57"/>
      <c r="K1281" s="66">
        <v>590.0</v>
      </c>
      <c r="L1281" s="57">
        <f t="shared" ref="L1281:L1282" si="541">ROUNDDOWN(K1281*1.1,0)</f>
        <v>649</v>
      </c>
      <c r="M1281" s="57">
        <f t="shared" ref="M1281:M1282" si="542">ROUNDDOWN(K1281*1.21,0)</f>
        <v>713</v>
      </c>
      <c r="N1281" s="57">
        <f t="shared" ref="N1281:N1282" si="543">ROUNDDOWN(K1281*1.33,0)</f>
        <v>784</v>
      </c>
      <c r="O1281" s="57">
        <f t="shared" ref="O1281:O1282" si="544">ROUNDDOWN(K1281*1.46,0)</f>
        <v>861</v>
      </c>
      <c r="P1281" s="57">
        <f t="shared" ref="P1281:P1282" si="545">ROUNDDOWN(K1281*1.57,0)</f>
        <v>926</v>
      </c>
      <c r="Q1281" s="57"/>
    </row>
    <row r="1282">
      <c r="A1282" s="60" t="s">
        <v>24</v>
      </c>
      <c r="B1282" s="60"/>
      <c r="C1282" s="57"/>
      <c r="D1282" s="57"/>
      <c r="E1282" s="57"/>
      <c r="F1282" s="57"/>
      <c r="G1282" s="57"/>
      <c r="H1282" s="57"/>
      <c r="I1282" s="57"/>
      <c r="J1282" s="57"/>
      <c r="K1282" s="66">
        <v>75.0</v>
      </c>
      <c r="L1282" s="57">
        <f t="shared" si="541"/>
        <v>82</v>
      </c>
      <c r="M1282" s="57">
        <f t="shared" si="542"/>
        <v>90</v>
      </c>
      <c r="N1282" s="57">
        <f t="shared" si="543"/>
        <v>99</v>
      </c>
      <c r="O1282" s="57">
        <f t="shared" si="544"/>
        <v>109</v>
      </c>
      <c r="P1282" s="57">
        <f t="shared" si="545"/>
        <v>117</v>
      </c>
      <c r="Q1282" s="57"/>
    </row>
    <row r="1283">
      <c r="A1283" s="60" t="s">
        <v>428</v>
      </c>
      <c r="B1283" s="60" t="s">
        <v>429</v>
      </c>
      <c r="C1283" s="57"/>
      <c r="D1283" s="57"/>
      <c r="E1283" s="57"/>
      <c r="F1283" s="57"/>
      <c r="G1283" s="57"/>
      <c r="H1283" s="57"/>
      <c r="I1283" s="57"/>
      <c r="J1283" s="57"/>
      <c r="K1283" s="63"/>
      <c r="L1283" s="57"/>
      <c r="M1283" s="57"/>
      <c r="N1283" s="57"/>
      <c r="O1283" s="57"/>
      <c r="P1283" s="57"/>
      <c r="Q1283" s="57"/>
    </row>
    <row r="1284">
      <c r="A1284" s="60" t="s">
        <v>55</v>
      </c>
      <c r="B1284" s="60" t="s">
        <v>430</v>
      </c>
      <c r="C1284" s="57"/>
      <c r="D1284" s="57"/>
      <c r="E1284" s="57"/>
      <c r="F1284" s="57"/>
      <c r="G1284" s="57"/>
      <c r="H1284" s="57"/>
      <c r="I1284" s="57"/>
      <c r="J1284" s="57"/>
      <c r="K1284" s="63"/>
      <c r="L1284" s="57"/>
      <c r="M1284" s="57"/>
      <c r="N1284" s="57"/>
      <c r="O1284" s="57"/>
      <c r="P1284" s="57"/>
      <c r="Q1284" s="57"/>
    </row>
    <row r="1285">
      <c r="A1285" s="60" t="s">
        <v>51</v>
      </c>
      <c r="B1285" s="60" t="s">
        <v>451</v>
      </c>
      <c r="C1285" s="57"/>
      <c r="D1285" s="57"/>
      <c r="E1285" s="57"/>
      <c r="F1285" s="57"/>
      <c r="G1285" s="57"/>
      <c r="H1285" s="57"/>
      <c r="I1285" s="57"/>
      <c r="J1285" s="57"/>
      <c r="K1285" s="63"/>
      <c r="L1285" s="57"/>
      <c r="M1285" s="57"/>
      <c r="N1285" s="57"/>
      <c r="O1285" s="57"/>
      <c r="P1285" s="57"/>
      <c r="Q1285" s="57"/>
    </row>
    <row r="1286">
      <c r="A1286" s="60" t="s">
        <v>49</v>
      </c>
      <c r="B1286" s="85" t="s">
        <v>463</v>
      </c>
      <c r="C1286" s="57"/>
      <c r="D1286" s="57"/>
      <c r="E1286" s="57"/>
      <c r="F1286" s="57"/>
      <c r="G1286" s="57"/>
      <c r="H1286" s="57"/>
      <c r="I1286" s="57"/>
      <c r="J1286" s="57"/>
      <c r="K1286" s="63"/>
      <c r="L1286" s="57"/>
      <c r="M1286" s="57"/>
      <c r="N1286" s="57"/>
      <c r="O1286" s="57"/>
      <c r="P1286" s="57"/>
      <c r="Q1286" s="57"/>
    </row>
    <row r="1287">
      <c r="A1287" s="60" t="s">
        <v>432</v>
      </c>
      <c r="B1287" s="60" t="s">
        <v>452</v>
      </c>
      <c r="C1287" s="57"/>
      <c r="D1287" s="57"/>
      <c r="E1287" s="57"/>
      <c r="F1287" s="57"/>
      <c r="G1287" s="57"/>
      <c r="H1287" s="57"/>
      <c r="I1287" s="57"/>
      <c r="J1287" s="57"/>
      <c r="K1287" s="63"/>
      <c r="L1287" s="57"/>
      <c r="M1287" s="57"/>
      <c r="N1287" s="57"/>
      <c r="O1287" s="57"/>
      <c r="P1287" s="57"/>
      <c r="Q1287" s="57"/>
    </row>
    <row r="1288">
      <c r="A1288" s="60" t="s">
        <v>422</v>
      </c>
      <c r="B1288" s="60" t="s">
        <v>732</v>
      </c>
      <c r="C1288" s="57"/>
      <c r="D1288" s="57"/>
      <c r="E1288" s="57"/>
      <c r="F1288" s="57"/>
      <c r="G1288" s="57"/>
      <c r="H1288" s="57"/>
      <c r="I1288" s="57"/>
      <c r="J1288" s="57"/>
      <c r="K1288" s="63"/>
      <c r="L1288" s="57"/>
      <c r="M1288" s="57"/>
      <c r="N1288" s="57"/>
      <c r="O1288" s="57"/>
      <c r="P1288" s="57"/>
      <c r="Q1288" s="57"/>
    </row>
    <row r="1289">
      <c r="A1289" s="60" t="s">
        <v>435</v>
      </c>
      <c r="B1289" s="60" t="s">
        <v>436</v>
      </c>
      <c r="C1289" s="57"/>
      <c r="D1289" s="57"/>
      <c r="E1289" s="57"/>
      <c r="F1289" s="57"/>
      <c r="G1289" s="57"/>
      <c r="H1289" s="57"/>
      <c r="I1289" s="57"/>
      <c r="J1289" s="57"/>
      <c r="K1289" s="63"/>
      <c r="L1289" s="57"/>
      <c r="M1289" s="57"/>
      <c r="N1289" s="57"/>
      <c r="O1289" s="57"/>
      <c r="P1289" s="57"/>
      <c r="Q1289" s="57"/>
    </row>
    <row r="1290">
      <c r="A1290" s="60" t="s">
        <v>483</v>
      </c>
      <c r="B1290" s="60" t="s">
        <v>505</v>
      </c>
      <c r="C1290" s="57"/>
      <c r="D1290" s="57"/>
      <c r="E1290" s="57"/>
      <c r="F1290" s="57"/>
      <c r="G1290" s="57"/>
      <c r="H1290" s="57"/>
      <c r="I1290" s="57"/>
      <c r="J1290" s="57"/>
      <c r="K1290" s="63"/>
      <c r="L1290" s="57"/>
      <c r="M1290" s="57"/>
      <c r="N1290" s="57"/>
      <c r="O1290" s="57"/>
      <c r="P1290" s="57"/>
      <c r="Q1290" s="57"/>
    </row>
    <row r="1291">
      <c r="A1291" s="60" t="s">
        <v>426</v>
      </c>
      <c r="B1291" s="60" t="s">
        <v>427</v>
      </c>
      <c r="C1291" s="57"/>
      <c r="D1291" s="57"/>
      <c r="E1291" s="57"/>
      <c r="F1291" s="57"/>
      <c r="G1291" s="57"/>
      <c r="H1291" s="57"/>
      <c r="I1291" s="57"/>
      <c r="J1291" s="57"/>
      <c r="K1291" s="63"/>
      <c r="L1291" s="57"/>
      <c r="M1291" s="57"/>
      <c r="N1291" s="57"/>
      <c r="O1291" s="57"/>
      <c r="P1291" s="57"/>
      <c r="Q1291" s="57"/>
    </row>
    <row r="1292">
      <c r="A1292" s="60" t="s">
        <v>597</v>
      </c>
      <c r="B1292" s="82">
        <v>-0.35</v>
      </c>
      <c r="C1292" s="57"/>
      <c r="D1292" s="57"/>
      <c r="E1292" s="57"/>
      <c r="F1292" s="57"/>
      <c r="G1292" s="57"/>
      <c r="H1292" s="57"/>
      <c r="I1292" s="57"/>
      <c r="J1292" s="57"/>
      <c r="K1292" s="63"/>
      <c r="L1292" s="57"/>
      <c r="M1292" s="57"/>
      <c r="N1292" s="57"/>
      <c r="O1292" s="57"/>
      <c r="P1292" s="57"/>
      <c r="Q1292" s="57"/>
    </row>
    <row r="1293">
      <c r="A1293" s="60" t="s">
        <v>733</v>
      </c>
      <c r="B1293" s="60" t="s">
        <v>574</v>
      </c>
      <c r="C1293" s="57"/>
      <c r="D1293" s="57"/>
      <c r="E1293" s="57"/>
      <c r="F1293" s="57"/>
      <c r="G1293" s="57"/>
      <c r="H1293" s="57"/>
      <c r="I1293" s="57"/>
      <c r="J1293" s="57"/>
      <c r="K1293" s="63"/>
      <c r="L1293" s="57"/>
      <c r="M1293" s="57"/>
      <c r="N1293" s="57"/>
      <c r="O1293" s="57"/>
      <c r="P1293" s="57"/>
      <c r="Q1293" s="57"/>
    </row>
    <row r="1294">
      <c r="A1294" s="60" t="s">
        <v>53</v>
      </c>
      <c r="B1294" s="60" t="s">
        <v>429</v>
      </c>
      <c r="C1294" s="57"/>
      <c r="D1294" s="57"/>
      <c r="E1294" s="57"/>
      <c r="F1294" s="57"/>
      <c r="G1294" s="57"/>
      <c r="H1294" s="57"/>
      <c r="I1294" s="57"/>
      <c r="J1294" s="57"/>
      <c r="K1294" s="63"/>
      <c r="L1294" s="57"/>
      <c r="M1294" s="57"/>
      <c r="N1294" s="57"/>
      <c r="O1294" s="57"/>
      <c r="P1294" s="57"/>
      <c r="Q1294" s="57"/>
    </row>
    <row r="1295">
      <c r="A1295" s="60" t="s">
        <v>50</v>
      </c>
      <c r="B1295" s="60" t="s">
        <v>425</v>
      </c>
      <c r="C1295" s="57"/>
      <c r="D1295" s="57"/>
      <c r="E1295" s="57"/>
      <c r="F1295" s="57"/>
      <c r="G1295" s="57"/>
      <c r="H1295" s="57"/>
      <c r="I1295" s="57"/>
      <c r="J1295" s="57"/>
      <c r="K1295" s="63"/>
      <c r="L1295" s="57"/>
      <c r="M1295" s="57"/>
      <c r="N1295" s="57"/>
      <c r="O1295" s="57"/>
      <c r="P1295" s="57"/>
      <c r="Q1295" s="57"/>
    </row>
    <row r="1296">
      <c r="A1296" s="60" t="s">
        <v>438</v>
      </c>
      <c r="B1296" s="60" t="s">
        <v>436</v>
      </c>
      <c r="C1296" s="57"/>
      <c r="D1296" s="57"/>
      <c r="E1296" s="57"/>
      <c r="F1296" s="57"/>
      <c r="G1296" s="57"/>
      <c r="H1296" s="57"/>
      <c r="I1296" s="57"/>
      <c r="J1296" s="57"/>
      <c r="K1296" s="63"/>
      <c r="L1296" s="57"/>
      <c r="M1296" s="57"/>
      <c r="N1296" s="57"/>
      <c r="O1296" s="57"/>
      <c r="P1296" s="57"/>
      <c r="Q1296" s="57"/>
    </row>
    <row r="1297">
      <c r="A1297" s="60" t="s">
        <v>439</v>
      </c>
      <c r="B1297" s="60" t="s">
        <v>440</v>
      </c>
      <c r="C1297" s="57"/>
      <c r="D1297" s="57"/>
      <c r="E1297" s="57"/>
      <c r="F1297" s="57"/>
      <c r="G1297" s="57"/>
      <c r="H1297" s="57"/>
      <c r="I1297" s="57"/>
      <c r="J1297" s="57"/>
      <c r="K1297" s="63"/>
      <c r="L1297" s="57"/>
      <c r="M1297" s="57"/>
      <c r="N1297" s="57"/>
      <c r="O1297" s="57"/>
      <c r="P1297" s="57"/>
      <c r="Q1297" s="57"/>
    </row>
    <row r="1298">
      <c r="A1298" s="60" t="s">
        <v>441</v>
      </c>
      <c r="B1298" s="60">
        <v>5.0</v>
      </c>
      <c r="C1298" s="57"/>
      <c r="D1298" s="57"/>
      <c r="E1298" s="57"/>
      <c r="F1298" s="57"/>
      <c r="G1298" s="57"/>
      <c r="H1298" s="57"/>
      <c r="I1298" s="57"/>
      <c r="J1298" s="57"/>
      <c r="K1298" s="63"/>
      <c r="L1298" s="57"/>
      <c r="M1298" s="57"/>
      <c r="N1298" s="57"/>
      <c r="O1298" s="57"/>
      <c r="P1298" s="57"/>
      <c r="Q1298" s="57"/>
    </row>
    <row r="1299">
      <c r="A1299" s="60" t="s">
        <v>444</v>
      </c>
      <c r="B1299" s="60" t="s">
        <v>638</v>
      </c>
      <c r="C1299" s="57"/>
      <c r="D1299" s="57"/>
      <c r="E1299" s="57"/>
      <c r="F1299" s="57"/>
      <c r="G1299" s="57"/>
      <c r="H1299" s="57"/>
      <c r="I1299" s="57"/>
      <c r="J1299" s="57"/>
      <c r="K1299" s="63"/>
      <c r="L1299" s="57"/>
      <c r="M1299" s="57"/>
      <c r="N1299" s="57"/>
      <c r="O1299" s="57"/>
      <c r="P1299" s="57"/>
      <c r="Q1299" s="57"/>
    </row>
    <row r="1300">
      <c r="A1300" s="60" t="s">
        <v>446</v>
      </c>
      <c r="B1300" s="60" t="s">
        <v>443</v>
      </c>
      <c r="C1300" s="57"/>
      <c r="D1300" s="57"/>
      <c r="E1300" s="57"/>
      <c r="F1300" s="57"/>
      <c r="G1300" s="57"/>
      <c r="H1300" s="57"/>
      <c r="I1300" s="57"/>
      <c r="J1300" s="57"/>
      <c r="K1300" s="63"/>
      <c r="L1300" s="57"/>
      <c r="M1300" s="57"/>
      <c r="N1300" s="57"/>
      <c r="O1300" s="57"/>
      <c r="P1300" s="57"/>
      <c r="Q1300" s="57"/>
    </row>
    <row r="1301">
      <c r="A1301" s="67" t="s">
        <v>316</v>
      </c>
      <c r="B1301" s="60" t="s">
        <v>468</v>
      </c>
      <c r="C1301" s="57"/>
      <c r="D1301" s="57"/>
      <c r="E1301" s="57"/>
      <c r="F1301" s="57"/>
      <c r="G1301" s="57"/>
      <c r="H1301" s="57"/>
      <c r="I1301" s="57"/>
      <c r="J1301" s="57"/>
      <c r="K1301" s="63"/>
      <c r="L1301" s="57"/>
      <c r="M1301" s="57"/>
      <c r="N1301" s="57"/>
      <c r="O1301" s="57"/>
      <c r="P1301" s="57"/>
      <c r="Q1301" s="57"/>
    </row>
    <row r="1302">
      <c r="A1302" s="60" t="s">
        <v>734</v>
      </c>
      <c r="B1302" s="60"/>
      <c r="C1302" s="65">
        <v>715.0</v>
      </c>
      <c r="D1302" s="57">
        <f t="shared" ref="D1302:D1305" si="546">ROUNDDOWN(C1302*1.1,0)</f>
        <v>786</v>
      </c>
      <c r="E1302" s="57">
        <f t="shared" ref="E1302:E1305" si="547">ROUNDDOWN(C1302*1.21,0)</f>
        <v>865</v>
      </c>
      <c r="F1302" s="57">
        <f t="shared" ref="F1302:F1305" si="548">ROUNDDOWN(C1302*1.33,0)</f>
        <v>950</v>
      </c>
      <c r="G1302" s="57">
        <f t="shared" ref="G1302:G1305" si="549">ROUNDDOWN(C1302*1.46,0)</f>
        <v>1043</v>
      </c>
      <c r="H1302" s="57">
        <f t="shared" ref="H1302:H1305" si="550">ROUNDDOWN(C1302*1.6,0)</f>
        <v>1144</v>
      </c>
      <c r="I1302" s="57">
        <f t="shared" ref="I1302:I1305" si="551">ROUNDDOWN(C1302*1.76,0)</f>
        <v>1258</v>
      </c>
      <c r="J1302" s="57">
        <f t="shared" ref="J1302:J1305" si="552">ROUNDDOWN(C1302*1.93,0)</f>
        <v>1379</v>
      </c>
      <c r="K1302" s="63">
        <f t="shared" ref="K1302:K1305" si="553">ROUNDDOWN(C1302*2.12,0)</f>
        <v>1515</v>
      </c>
      <c r="L1302" s="57">
        <f t="shared" ref="L1302:L1305" si="554">ROUNDDOWN(C1302*2.33,0)</f>
        <v>1665</v>
      </c>
      <c r="M1302" s="57">
        <f t="shared" ref="M1302:M1305" si="555">ROUNDDOWN(C1302*2.56,0)</f>
        <v>1830</v>
      </c>
      <c r="N1302" s="57">
        <f t="shared" ref="N1302:N1305" si="556">ROUNDDOWN(C1302*2.81,0)</f>
        <v>2009</v>
      </c>
      <c r="O1302" s="57">
        <f t="shared" ref="O1302:O1305" si="557">ROUNDDOWN(C1302*3.09,0)</f>
        <v>2209</v>
      </c>
      <c r="P1302" s="57">
        <f t="shared" ref="P1302:P1305" si="558">ROUNDDOWN(C1302*3.39,0)</f>
        <v>2423</v>
      </c>
      <c r="Q1302" s="57"/>
    </row>
    <row r="1303">
      <c r="A1303" s="60" t="s">
        <v>735</v>
      </c>
      <c r="B1303" s="60"/>
      <c r="C1303" s="65">
        <v>52.0</v>
      </c>
      <c r="D1303" s="57">
        <f t="shared" si="546"/>
        <v>57</v>
      </c>
      <c r="E1303" s="57">
        <f t="shared" si="547"/>
        <v>62</v>
      </c>
      <c r="F1303" s="57">
        <f t="shared" si="548"/>
        <v>69</v>
      </c>
      <c r="G1303" s="57">
        <f t="shared" si="549"/>
        <v>75</v>
      </c>
      <c r="H1303" s="57">
        <f t="shared" si="550"/>
        <v>83</v>
      </c>
      <c r="I1303" s="57">
        <f t="shared" si="551"/>
        <v>91</v>
      </c>
      <c r="J1303" s="57">
        <f t="shared" si="552"/>
        <v>100</v>
      </c>
      <c r="K1303" s="63">
        <f t="shared" si="553"/>
        <v>110</v>
      </c>
      <c r="L1303" s="57">
        <f t="shared" si="554"/>
        <v>121</v>
      </c>
      <c r="M1303" s="57">
        <f t="shared" si="555"/>
        <v>133</v>
      </c>
      <c r="N1303" s="57">
        <f t="shared" si="556"/>
        <v>146</v>
      </c>
      <c r="O1303" s="57">
        <f t="shared" si="557"/>
        <v>160</v>
      </c>
      <c r="P1303" s="57">
        <f t="shared" si="558"/>
        <v>176</v>
      </c>
      <c r="Q1303" s="57"/>
    </row>
    <row r="1304">
      <c r="A1304" s="60" t="s">
        <v>736</v>
      </c>
      <c r="B1304" s="60"/>
      <c r="C1304" s="65">
        <v>102.0</v>
      </c>
      <c r="D1304" s="57">
        <f t="shared" si="546"/>
        <v>112</v>
      </c>
      <c r="E1304" s="57">
        <f t="shared" si="547"/>
        <v>123</v>
      </c>
      <c r="F1304" s="57">
        <f t="shared" si="548"/>
        <v>135</v>
      </c>
      <c r="G1304" s="57">
        <f t="shared" si="549"/>
        <v>148</v>
      </c>
      <c r="H1304" s="57">
        <f t="shared" si="550"/>
        <v>163</v>
      </c>
      <c r="I1304" s="57">
        <f t="shared" si="551"/>
        <v>179</v>
      </c>
      <c r="J1304" s="57">
        <f t="shared" si="552"/>
        <v>196</v>
      </c>
      <c r="K1304" s="63">
        <f t="shared" si="553"/>
        <v>216</v>
      </c>
      <c r="L1304" s="57">
        <f t="shared" si="554"/>
        <v>237</v>
      </c>
      <c r="M1304" s="57">
        <f t="shared" si="555"/>
        <v>261</v>
      </c>
      <c r="N1304" s="57">
        <f t="shared" si="556"/>
        <v>286</v>
      </c>
      <c r="O1304" s="57">
        <f t="shared" si="557"/>
        <v>315</v>
      </c>
      <c r="P1304" s="57">
        <f t="shared" si="558"/>
        <v>345</v>
      </c>
      <c r="Q1304" s="57"/>
    </row>
    <row r="1305">
      <c r="A1305" s="60" t="s">
        <v>737</v>
      </c>
      <c r="B1305" s="60"/>
      <c r="C1305" s="65">
        <v>52.0</v>
      </c>
      <c r="D1305" s="57">
        <f t="shared" si="546"/>
        <v>57</v>
      </c>
      <c r="E1305" s="57">
        <f t="shared" si="547"/>
        <v>62</v>
      </c>
      <c r="F1305" s="57">
        <f t="shared" si="548"/>
        <v>69</v>
      </c>
      <c r="G1305" s="57">
        <f t="shared" si="549"/>
        <v>75</v>
      </c>
      <c r="H1305" s="57">
        <f t="shared" si="550"/>
        <v>83</v>
      </c>
      <c r="I1305" s="57">
        <f t="shared" si="551"/>
        <v>91</v>
      </c>
      <c r="J1305" s="57">
        <f t="shared" si="552"/>
        <v>100</v>
      </c>
      <c r="K1305" s="63">
        <f t="shared" si="553"/>
        <v>110</v>
      </c>
      <c r="L1305" s="57">
        <f t="shared" si="554"/>
        <v>121</v>
      </c>
      <c r="M1305" s="57">
        <f t="shared" si="555"/>
        <v>133</v>
      </c>
      <c r="N1305" s="57">
        <f t="shared" si="556"/>
        <v>146</v>
      </c>
      <c r="O1305" s="57">
        <f t="shared" si="557"/>
        <v>160</v>
      </c>
      <c r="P1305" s="57">
        <f t="shared" si="558"/>
        <v>176</v>
      </c>
      <c r="Q1305" s="57"/>
    </row>
    <row r="1306">
      <c r="A1306" s="60" t="s">
        <v>738</v>
      </c>
      <c r="B1306" s="60" t="s">
        <v>317</v>
      </c>
      <c r="C1306" s="57"/>
      <c r="D1306" s="57"/>
      <c r="E1306" s="57"/>
      <c r="F1306" s="57"/>
      <c r="G1306" s="57"/>
      <c r="H1306" s="57"/>
      <c r="I1306" s="57"/>
      <c r="J1306" s="57"/>
      <c r="K1306" s="63"/>
      <c r="L1306" s="57"/>
      <c r="M1306" s="57"/>
      <c r="N1306" s="57"/>
      <c r="O1306" s="57"/>
      <c r="P1306" s="57"/>
      <c r="Q1306" s="57"/>
    </row>
    <row r="1307">
      <c r="A1307" s="60" t="s">
        <v>739</v>
      </c>
      <c r="B1307" s="60" t="s">
        <v>318</v>
      </c>
      <c r="C1307" s="57"/>
      <c r="D1307" s="57"/>
      <c r="E1307" s="57"/>
      <c r="F1307" s="57"/>
      <c r="G1307" s="57"/>
      <c r="H1307" s="57"/>
      <c r="I1307" s="57"/>
      <c r="J1307" s="57"/>
      <c r="K1307" s="63"/>
      <c r="L1307" s="57"/>
      <c r="M1307" s="57"/>
      <c r="N1307" s="57"/>
      <c r="O1307" s="57"/>
      <c r="P1307" s="57"/>
      <c r="Q1307" s="57"/>
    </row>
    <row r="1308">
      <c r="A1308" s="60" t="s">
        <v>740</v>
      </c>
      <c r="B1308" s="60">
        <v>1.0</v>
      </c>
      <c r="C1308" s="57"/>
      <c r="D1308" s="57"/>
      <c r="E1308" s="57"/>
      <c r="F1308" s="57"/>
      <c r="G1308" s="57"/>
      <c r="H1308" s="57"/>
      <c r="I1308" s="57"/>
      <c r="J1308" s="57"/>
      <c r="K1308" s="63"/>
      <c r="L1308" s="57"/>
      <c r="M1308" s="57"/>
      <c r="N1308" s="57"/>
      <c r="O1308" s="57"/>
      <c r="P1308" s="57"/>
      <c r="Q1308" s="57"/>
    </row>
    <row r="1309">
      <c r="A1309" s="60" t="s">
        <v>741</v>
      </c>
      <c r="B1309" s="60">
        <v>2.0</v>
      </c>
      <c r="C1309" s="57"/>
      <c r="D1309" s="57"/>
      <c r="E1309" s="57"/>
      <c r="F1309" s="57"/>
      <c r="G1309" s="57"/>
      <c r="H1309" s="57"/>
      <c r="I1309" s="57"/>
      <c r="J1309" s="57"/>
      <c r="K1309" s="63"/>
      <c r="L1309" s="57"/>
      <c r="M1309" s="57"/>
      <c r="N1309" s="57"/>
      <c r="O1309" s="57"/>
      <c r="P1309" s="57"/>
      <c r="Q1309" s="57"/>
    </row>
    <row r="1310">
      <c r="A1310" s="60" t="s">
        <v>742</v>
      </c>
      <c r="B1310" s="60" t="s">
        <v>429</v>
      </c>
      <c r="C1310" s="57"/>
      <c r="D1310" s="57"/>
      <c r="E1310" s="57"/>
      <c r="F1310" s="57"/>
      <c r="G1310" s="57"/>
      <c r="H1310" s="57"/>
      <c r="I1310" s="57"/>
      <c r="J1310" s="57"/>
      <c r="K1310" s="63"/>
      <c r="L1310" s="57"/>
      <c r="M1310" s="57"/>
      <c r="N1310" s="57"/>
      <c r="O1310" s="57"/>
      <c r="P1310" s="57"/>
      <c r="Q1310" s="57"/>
    </row>
    <row r="1311">
      <c r="A1311" s="60" t="s">
        <v>743</v>
      </c>
      <c r="B1311" s="60" t="s">
        <v>430</v>
      </c>
      <c r="C1311" s="57"/>
      <c r="D1311" s="57"/>
      <c r="E1311" s="57"/>
      <c r="F1311" s="57"/>
      <c r="G1311" s="57"/>
      <c r="H1311" s="57"/>
      <c r="I1311" s="57"/>
      <c r="J1311" s="57"/>
      <c r="K1311" s="63"/>
      <c r="L1311" s="57"/>
      <c r="M1311" s="57"/>
      <c r="N1311" s="57"/>
      <c r="O1311" s="57"/>
      <c r="P1311" s="57"/>
      <c r="Q1311" s="57"/>
    </row>
    <row r="1312">
      <c r="A1312" s="60" t="s">
        <v>744</v>
      </c>
      <c r="B1312" s="60" t="s">
        <v>451</v>
      </c>
      <c r="C1312" s="57"/>
      <c r="D1312" s="57"/>
      <c r="E1312" s="57"/>
      <c r="F1312" s="57"/>
      <c r="G1312" s="57"/>
      <c r="H1312" s="57"/>
      <c r="I1312" s="57"/>
      <c r="J1312" s="57"/>
      <c r="K1312" s="63"/>
      <c r="L1312" s="57"/>
      <c r="M1312" s="57"/>
      <c r="N1312" s="57"/>
      <c r="O1312" s="57"/>
      <c r="P1312" s="57"/>
      <c r="Q1312" s="57"/>
    </row>
    <row r="1313">
      <c r="A1313" s="60" t="s">
        <v>745</v>
      </c>
      <c r="B1313" s="60" t="s">
        <v>471</v>
      </c>
      <c r="C1313" s="57"/>
      <c r="D1313" s="57"/>
      <c r="E1313" s="57"/>
      <c r="F1313" s="57"/>
      <c r="G1313" s="57"/>
      <c r="H1313" s="57"/>
      <c r="I1313" s="57"/>
      <c r="J1313" s="57"/>
      <c r="K1313" s="63"/>
      <c r="L1313" s="57"/>
      <c r="M1313" s="57"/>
      <c r="N1313" s="57"/>
      <c r="O1313" s="57"/>
      <c r="P1313" s="57"/>
      <c r="Q1313" s="57"/>
    </row>
    <row r="1314">
      <c r="A1314" s="60" t="s">
        <v>746</v>
      </c>
      <c r="B1314" s="60" t="s">
        <v>453</v>
      </c>
      <c r="C1314" s="57"/>
      <c r="D1314" s="57"/>
      <c r="E1314" s="57"/>
      <c r="F1314" s="57"/>
      <c r="G1314" s="57"/>
      <c r="H1314" s="57"/>
      <c r="I1314" s="57"/>
      <c r="J1314" s="57"/>
      <c r="K1314" s="63"/>
      <c r="L1314" s="57"/>
      <c r="M1314" s="57"/>
      <c r="N1314" s="57"/>
      <c r="O1314" s="57"/>
      <c r="P1314" s="57"/>
      <c r="Q1314" s="57"/>
    </row>
    <row r="1315">
      <c r="A1315" s="60" t="s">
        <v>747</v>
      </c>
      <c r="B1315" s="60" t="s">
        <v>464</v>
      </c>
      <c r="C1315" s="57"/>
      <c r="D1315" s="57"/>
      <c r="E1315" s="57"/>
      <c r="F1315" s="57"/>
      <c r="G1315" s="57"/>
      <c r="H1315" s="57"/>
      <c r="I1315" s="57"/>
      <c r="J1315" s="57"/>
      <c r="K1315" s="63"/>
      <c r="L1315" s="57"/>
      <c r="M1315" s="57"/>
      <c r="N1315" s="57"/>
      <c r="O1315" s="57"/>
      <c r="P1315" s="57"/>
      <c r="Q1315" s="57"/>
    </row>
    <row r="1316">
      <c r="A1316" s="60" t="s">
        <v>748</v>
      </c>
      <c r="B1316" s="60" t="s">
        <v>98</v>
      </c>
      <c r="C1316" s="57"/>
      <c r="D1316" s="57"/>
      <c r="E1316" s="57"/>
      <c r="F1316" s="57"/>
      <c r="G1316" s="57"/>
      <c r="H1316" s="57"/>
      <c r="I1316" s="57"/>
      <c r="J1316" s="57"/>
      <c r="K1316" s="63"/>
      <c r="L1316" s="57"/>
      <c r="M1316" s="57"/>
      <c r="N1316" s="57"/>
      <c r="O1316" s="57"/>
      <c r="P1316" s="57"/>
      <c r="Q1316" s="57"/>
    </row>
    <row r="1317">
      <c r="A1317" s="60" t="s">
        <v>749</v>
      </c>
      <c r="B1317" s="60" t="s">
        <v>436</v>
      </c>
      <c r="C1317" s="57"/>
      <c r="D1317" s="57"/>
      <c r="E1317" s="57"/>
      <c r="F1317" s="57"/>
      <c r="G1317" s="57"/>
      <c r="H1317" s="57"/>
      <c r="I1317" s="57"/>
      <c r="J1317" s="57"/>
      <c r="K1317" s="63"/>
      <c r="L1317" s="57"/>
      <c r="M1317" s="57"/>
      <c r="N1317" s="57"/>
      <c r="O1317" s="57"/>
      <c r="P1317" s="57"/>
      <c r="Q1317" s="57"/>
    </row>
    <row r="1318">
      <c r="A1318" s="60" t="s">
        <v>750</v>
      </c>
      <c r="B1318" s="60" t="s">
        <v>473</v>
      </c>
      <c r="C1318" s="57"/>
      <c r="D1318" s="57"/>
      <c r="E1318" s="57"/>
      <c r="F1318" s="57"/>
      <c r="G1318" s="57"/>
      <c r="H1318" s="57"/>
      <c r="I1318" s="57"/>
      <c r="J1318" s="57"/>
      <c r="K1318" s="63"/>
      <c r="L1318" s="57"/>
      <c r="M1318" s="57"/>
      <c r="N1318" s="57"/>
      <c r="O1318" s="57"/>
      <c r="P1318" s="57"/>
      <c r="Q1318" s="57"/>
    </row>
    <row r="1319">
      <c r="A1319" s="60" t="s">
        <v>751</v>
      </c>
      <c r="B1319" s="60">
        <v>10.0</v>
      </c>
      <c r="C1319" s="57"/>
      <c r="D1319" s="57"/>
      <c r="E1319" s="57"/>
      <c r="F1319" s="57"/>
      <c r="G1319" s="57"/>
      <c r="H1319" s="57"/>
      <c r="I1319" s="57"/>
      <c r="J1319" s="57"/>
      <c r="K1319" s="63"/>
      <c r="L1319" s="57"/>
      <c r="M1319" s="57"/>
      <c r="N1319" s="57"/>
      <c r="O1319" s="57"/>
      <c r="P1319" s="57"/>
      <c r="Q1319" s="57"/>
    </row>
    <row r="1320">
      <c r="A1320" s="60" t="s">
        <v>752</v>
      </c>
      <c r="B1320" s="60" t="s">
        <v>445</v>
      </c>
      <c r="C1320" s="57"/>
      <c r="D1320" s="57"/>
      <c r="E1320" s="57"/>
      <c r="F1320" s="57"/>
      <c r="G1320" s="57"/>
      <c r="H1320" s="57"/>
      <c r="I1320" s="57"/>
      <c r="J1320" s="57"/>
      <c r="K1320" s="63"/>
      <c r="L1320" s="57"/>
      <c r="M1320" s="57"/>
      <c r="N1320" s="57"/>
      <c r="O1320" s="57"/>
      <c r="P1320" s="57"/>
      <c r="Q1320" s="57"/>
    </row>
    <row r="1321">
      <c r="A1321" s="60" t="s">
        <v>753</v>
      </c>
      <c r="B1321" s="60" t="s">
        <v>445</v>
      </c>
      <c r="C1321" s="57"/>
      <c r="D1321" s="57"/>
      <c r="E1321" s="57"/>
      <c r="F1321" s="57"/>
      <c r="G1321" s="57"/>
      <c r="H1321" s="57"/>
      <c r="I1321" s="57"/>
      <c r="J1321" s="57"/>
      <c r="K1321" s="63"/>
      <c r="L1321" s="57"/>
      <c r="M1321" s="57"/>
      <c r="N1321" s="57"/>
      <c r="O1321" s="57"/>
      <c r="P1321" s="57"/>
      <c r="Q1321" s="57"/>
    </row>
    <row r="1322">
      <c r="A1322" s="60" t="s">
        <v>754</v>
      </c>
      <c r="B1322" s="60" t="s">
        <v>429</v>
      </c>
      <c r="C1322" s="65"/>
      <c r="D1322" s="57"/>
      <c r="E1322" s="57"/>
      <c r="F1322" s="57"/>
      <c r="G1322" s="57"/>
      <c r="H1322" s="57"/>
      <c r="I1322" s="57"/>
      <c r="J1322" s="57"/>
      <c r="K1322" s="63"/>
      <c r="L1322" s="57"/>
      <c r="M1322" s="57"/>
      <c r="N1322" s="57"/>
      <c r="O1322" s="57"/>
      <c r="P1322" s="57"/>
      <c r="Q1322" s="57"/>
    </row>
    <row r="1323">
      <c r="A1323" s="60" t="s">
        <v>755</v>
      </c>
      <c r="B1323" s="60" t="s">
        <v>430</v>
      </c>
      <c r="C1323" s="65"/>
      <c r="D1323" s="57"/>
      <c r="E1323" s="57"/>
      <c r="F1323" s="57"/>
      <c r="G1323" s="57"/>
      <c r="H1323" s="57"/>
      <c r="I1323" s="57"/>
      <c r="J1323" s="57"/>
      <c r="K1323" s="63"/>
      <c r="L1323" s="57"/>
      <c r="M1323" s="57"/>
      <c r="N1323" s="57"/>
      <c r="O1323" s="57"/>
      <c r="P1323" s="57"/>
      <c r="Q1323" s="57"/>
    </row>
    <row r="1324">
      <c r="A1324" s="60" t="s">
        <v>756</v>
      </c>
      <c r="B1324" s="60" t="s">
        <v>451</v>
      </c>
      <c r="C1324" s="57"/>
      <c r="D1324" s="57"/>
      <c r="E1324" s="57"/>
      <c r="F1324" s="57"/>
      <c r="G1324" s="57"/>
      <c r="H1324" s="57"/>
      <c r="I1324" s="57"/>
      <c r="J1324" s="57"/>
      <c r="K1324" s="63"/>
      <c r="L1324" s="57"/>
      <c r="M1324" s="57"/>
      <c r="N1324" s="57"/>
      <c r="O1324" s="57"/>
      <c r="P1324" s="57"/>
      <c r="Q1324" s="57"/>
    </row>
    <row r="1325">
      <c r="A1325" s="60" t="s">
        <v>757</v>
      </c>
      <c r="B1325" s="60" t="s">
        <v>453</v>
      </c>
      <c r="C1325" s="57"/>
      <c r="D1325" s="57"/>
      <c r="E1325" s="57"/>
      <c r="F1325" s="57"/>
      <c r="G1325" s="57"/>
      <c r="H1325" s="57"/>
      <c r="I1325" s="57"/>
      <c r="J1325" s="57"/>
      <c r="K1325" s="63"/>
      <c r="L1325" s="57"/>
      <c r="M1325" s="57"/>
      <c r="N1325" s="57"/>
      <c r="O1325" s="57"/>
      <c r="P1325" s="57"/>
      <c r="Q1325" s="57"/>
    </row>
    <row r="1326">
      <c r="A1326" s="60" t="s">
        <v>758</v>
      </c>
      <c r="B1326" s="60" t="s">
        <v>450</v>
      </c>
      <c r="C1326" s="57"/>
      <c r="D1326" s="57"/>
      <c r="E1326" s="57"/>
      <c r="F1326" s="57"/>
      <c r="G1326" s="57"/>
      <c r="H1326" s="57"/>
      <c r="I1326" s="57"/>
      <c r="J1326" s="57"/>
      <c r="K1326" s="63"/>
      <c r="L1326" s="57"/>
      <c r="M1326" s="57"/>
      <c r="N1326" s="57"/>
      <c r="O1326" s="57"/>
      <c r="P1326" s="57"/>
      <c r="Q1326" s="57"/>
    </row>
    <row r="1327">
      <c r="A1327" s="60" t="s">
        <v>759</v>
      </c>
      <c r="B1327" s="60" t="s">
        <v>672</v>
      </c>
      <c r="C1327" s="57"/>
      <c r="D1327" s="57"/>
      <c r="E1327" s="57"/>
      <c r="F1327" s="57"/>
      <c r="G1327" s="57"/>
      <c r="H1327" s="57"/>
      <c r="I1327" s="57"/>
      <c r="J1327" s="57"/>
      <c r="K1327" s="63"/>
      <c r="L1327" s="57"/>
      <c r="M1327" s="57"/>
      <c r="N1327" s="57"/>
      <c r="O1327" s="57"/>
      <c r="P1327" s="57"/>
      <c r="Q1327" s="57"/>
    </row>
    <row r="1328">
      <c r="A1328" s="60" t="s">
        <v>760</v>
      </c>
      <c r="B1328" s="60" t="s">
        <v>436</v>
      </c>
      <c r="C1328" s="57"/>
      <c r="D1328" s="57"/>
      <c r="E1328" s="57"/>
      <c r="F1328" s="57"/>
      <c r="G1328" s="57"/>
      <c r="H1328" s="57"/>
      <c r="I1328" s="57"/>
      <c r="J1328" s="57"/>
      <c r="K1328" s="63"/>
      <c r="L1328" s="57"/>
      <c r="M1328" s="57"/>
      <c r="N1328" s="57"/>
      <c r="O1328" s="57"/>
      <c r="P1328" s="57"/>
      <c r="Q1328" s="57"/>
    </row>
    <row r="1329">
      <c r="A1329" s="60" t="s">
        <v>761</v>
      </c>
      <c r="B1329" s="60" t="s">
        <v>673</v>
      </c>
      <c r="C1329" s="57"/>
      <c r="D1329" s="57"/>
      <c r="E1329" s="57"/>
      <c r="F1329" s="57"/>
      <c r="G1329" s="57"/>
      <c r="H1329" s="57"/>
      <c r="I1329" s="57"/>
      <c r="J1329" s="57"/>
      <c r="K1329" s="63"/>
      <c r="L1329" s="57"/>
      <c r="M1329" s="57"/>
      <c r="N1329" s="57"/>
      <c r="O1329" s="57"/>
      <c r="P1329" s="57"/>
      <c r="Q1329" s="57"/>
    </row>
    <row r="1330">
      <c r="A1330" s="60" t="s">
        <v>762</v>
      </c>
      <c r="B1330" s="60" t="s">
        <v>456</v>
      </c>
      <c r="C1330" s="57"/>
      <c r="D1330" s="57"/>
      <c r="E1330" s="57"/>
      <c r="F1330" s="57"/>
      <c r="G1330" s="57"/>
      <c r="H1330" s="57"/>
      <c r="I1330" s="57"/>
      <c r="J1330" s="57"/>
      <c r="K1330" s="63"/>
      <c r="L1330" s="57"/>
      <c r="M1330" s="57"/>
      <c r="N1330" s="57"/>
      <c r="O1330" s="57"/>
      <c r="P1330" s="57"/>
      <c r="Q1330" s="57"/>
    </row>
    <row r="1331">
      <c r="A1331" s="60" t="s">
        <v>763</v>
      </c>
      <c r="B1331" s="60" t="s">
        <v>425</v>
      </c>
      <c r="C1331" s="57"/>
      <c r="D1331" s="57"/>
      <c r="E1331" s="57"/>
      <c r="F1331" s="57"/>
      <c r="G1331" s="57"/>
      <c r="H1331" s="57"/>
      <c r="I1331" s="57"/>
      <c r="J1331" s="57"/>
      <c r="K1331" s="63"/>
      <c r="L1331" s="57"/>
      <c r="M1331" s="57"/>
      <c r="N1331" s="57"/>
      <c r="O1331" s="57"/>
      <c r="P1331" s="57"/>
      <c r="Q1331" s="57"/>
    </row>
    <row r="1332">
      <c r="A1332" s="60" t="s">
        <v>764</v>
      </c>
      <c r="B1332" s="60" t="s">
        <v>436</v>
      </c>
      <c r="C1332" s="57"/>
      <c r="D1332" s="57"/>
      <c r="E1332" s="57"/>
      <c r="F1332" s="57"/>
      <c r="G1332" s="57"/>
      <c r="H1332" s="57"/>
      <c r="I1332" s="57"/>
      <c r="J1332" s="57"/>
      <c r="K1332" s="63"/>
      <c r="L1332" s="57"/>
      <c r="M1332" s="57"/>
      <c r="N1332" s="57"/>
      <c r="O1332" s="57"/>
      <c r="P1332" s="57"/>
      <c r="Q1332" s="57"/>
    </row>
    <row r="1333">
      <c r="A1333" s="60" t="s">
        <v>765</v>
      </c>
      <c r="B1333" s="60" t="s">
        <v>440</v>
      </c>
      <c r="C1333" s="57"/>
      <c r="D1333" s="57"/>
      <c r="E1333" s="57"/>
      <c r="F1333" s="57"/>
      <c r="G1333" s="57"/>
      <c r="H1333" s="57"/>
      <c r="I1333" s="57"/>
      <c r="J1333" s="57"/>
      <c r="K1333" s="63"/>
      <c r="L1333" s="57"/>
      <c r="M1333" s="57"/>
      <c r="N1333" s="57"/>
      <c r="O1333" s="57"/>
      <c r="P1333" s="57"/>
      <c r="Q1333" s="57"/>
    </row>
    <row r="1334">
      <c r="A1334" s="60" t="s">
        <v>766</v>
      </c>
      <c r="B1334" s="60">
        <v>2.0</v>
      </c>
      <c r="C1334" s="57"/>
      <c r="D1334" s="57"/>
      <c r="E1334" s="57"/>
      <c r="F1334" s="57"/>
      <c r="G1334" s="57"/>
      <c r="H1334" s="57"/>
      <c r="I1334" s="57"/>
      <c r="J1334" s="57"/>
      <c r="K1334" s="63"/>
      <c r="L1334" s="57"/>
      <c r="M1334" s="57"/>
      <c r="N1334" s="57"/>
      <c r="O1334" s="57"/>
      <c r="P1334" s="57"/>
      <c r="Q1334" s="57"/>
    </row>
    <row r="1335">
      <c r="A1335" s="60" t="s">
        <v>767</v>
      </c>
      <c r="B1335" s="60" t="s">
        <v>445</v>
      </c>
      <c r="C1335" s="57"/>
      <c r="D1335" s="57"/>
      <c r="E1335" s="57"/>
      <c r="F1335" s="57"/>
      <c r="G1335" s="57"/>
      <c r="H1335" s="57"/>
      <c r="I1335" s="57"/>
      <c r="J1335" s="57"/>
      <c r="K1335" s="63"/>
      <c r="L1335" s="57"/>
      <c r="M1335" s="57"/>
      <c r="N1335" s="57"/>
      <c r="O1335" s="57"/>
      <c r="P1335" s="57"/>
      <c r="Q1335" s="57"/>
    </row>
    <row r="1336">
      <c r="A1336" s="60" t="s">
        <v>768</v>
      </c>
      <c r="B1336" s="60" t="s">
        <v>445</v>
      </c>
      <c r="C1336" s="57"/>
      <c r="D1336" s="57"/>
      <c r="E1336" s="57"/>
      <c r="F1336" s="57"/>
      <c r="G1336" s="57"/>
      <c r="H1336" s="57"/>
      <c r="I1336" s="57"/>
      <c r="J1336" s="57"/>
      <c r="K1336" s="63"/>
      <c r="L1336" s="57"/>
      <c r="M1336" s="57"/>
      <c r="N1336" s="57"/>
      <c r="O1336" s="57"/>
      <c r="P1336" s="57"/>
      <c r="Q1336" s="57"/>
    </row>
    <row r="1337">
      <c r="A1337" s="60" t="s">
        <v>489</v>
      </c>
      <c r="B1337" s="60" t="s">
        <v>500</v>
      </c>
      <c r="C1337" s="57"/>
      <c r="D1337" s="57"/>
      <c r="E1337" s="57"/>
      <c r="F1337" s="57"/>
      <c r="G1337" s="57"/>
      <c r="H1337" s="57"/>
      <c r="I1337" s="57"/>
      <c r="J1337" s="57"/>
      <c r="K1337" s="63"/>
      <c r="L1337" s="57"/>
      <c r="M1337" s="57"/>
      <c r="N1337" s="57"/>
      <c r="O1337" s="57"/>
      <c r="P1337" s="57"/>
      <c r="Q1337" s="57"/>
    </row>
    <row r="1338">
      <c r="A1338" s="60" t="s">
        <v>769</v>
      </c>
      <c r="B1338" s="60" t="s">
        <v>450</v>
      </c>
      <c r="C1338" s="57"/>
      <c r="D1338" s="57"/>
      <c r="E1338" s="57"/>
      <c r="F1338" s="57"/>
      <c r="G1338" s="57"/>
      <c r="H1338" s="57"/>
      <c r="I1338" s="57"/>
      <c r="J1338" s="57"/>
      <c r="K1338" s="63"/>
      <c r="L1338" s="57"/>
      <c r="M1338" s="57"/>
      <c r="N1338" s="57"/>
      <c r="O1338" s="57"/>
      <c r="P1338" s="57"/>
      <c r="Q1338" s="57"/>
    </row>
    <row r="1339">
      <c r="A1339" s="67" t="s">
        <v>229</v>
      </c>
      <c r="B1339" s="60" t="s">
        <v>416</v>
      </c>
      <c r="C1339" s="57"/>
      <c r="D1339" s="57"/>
      <c r="E1339" s="57"/>
      <c r="F1339" s="57"/>
      <c r="G1339" s="57"/>
      <c r="H1339" s="57"/>
      <c r="I1339" s="57"/>
      <c r="J1339" s="57"/>
      <c r="K1339" s="63"/>
      <c r="L1339" s="57"/>
      <c r="M1339" s="57"/>
      <c r="N1339" s="57"/>
      <c r="O1339" s="57"/>
      <c r="P1339" s="57"/>
      <c r="Q1339" s="57"/>
    </row>
    <row r="1340">
      <c r="A1340" s="60" t="s">
        <v>503</v>
      </c>
      <c r="B1340" s="81"/>
      <c r="C1340" s="65">
        <f t="shared" ref="C1340:P1340" si="559">C$3</f>
        <v>1</v>
      </c>
      <c r="D1340" s="65">
        <f t="shared" si="559"/>
        <v>2</v>
      </c>
      <c r="E1340" s="65">
        <f t="shared" si="559"/>
        <v>3</v>
      </c>
      <c r="F1340" s="65">
        <f t="shared" si="559"/>
        <v>4</v>
      </c>
      <c r="G1340" s="65">
        <f t="shared" si="559"/>
        <v>5</v>
      </c>
      <c r="H1340" s="65">
        <f t="shared" si="559"/>
        <v>6</v>
      </c>
      <c r="I1340" s="65">
        <f t="shared" si="559"/>
        <v>7</v>
      </c>
      <c r="J1340" s="65">
        <f t="shared" si="559"/>
        <v>8</v>
      </c>
      <c r="K1340" s="66">
        <f t="shared" si="559"/>
        <v>9</v>
      </c>
      <c r="L1340" s="65">
        <f t="shared" si="559"/>
        <v>10</v>
      </c>
      <c r="M1340" s="65">
        <f t="shared" si="559"/>
        <v>11</v>
      </c>
      <c r="N1340" s="65">
        <f t="shared" si="559"/>
        <v>12</v>
      </c>
      <c r="O1340" s="65">
        <f t="shared" si="559"/>
        <v>13</v>
      </c>
      <c r="P1340" s="65">
        <f t="shared" si="559"/>
        <v>14</v>
      </c>
      <c r="Q1340" s="57"/>
    </row>
    <row r="1341">
      <c r="A1341" s="60" t="s">
        <v>770</v>
      </c>
      <c r="B1341" s="81"/>
      <c r="C1341" s="65">
        <f t="shared" ref="C1341:P1341" si="560">C$3</f>
        <v>1</v>
      </c>
      <c r="D1341" s="65">
        <f t="shared" si="560"/>
        <v>2</v>
      </c>
      <c r="E1341" s="65">
        <f t="shared" si="560"/>
        <v>3</v>
      </c>
      <c r="F1341" s="65">
        <f t="shared" si="560"/>
        <v>4</v>
      </c>
      <c r="G1341" s="65">
        <f t="shared" si="560"/>
        <v>5</v>
      </c>
      <c r="H1341" s="65">
        <f t="shared" si="560"/>
        <v>6</v>
      </c>
      <c r="I1341" s="65">
        <f t="shared" si="560"/>
        <v>7</v>
      </c>
      <c r="J1341" s="65">
        <f t="shared" si="560"/>
        <v>8</v>
      </c>
      <c r="K1341" s="66">
        <f t="shared" si="560"/>
        <v>9</v>
      </c>
      <c r="L1341" s="65">
        <f t="shared" si="560"/>
        <v>10</v>
      </c>
      <c r="M1341" s="65">
        <f t="shared" si="560"/>
        <v>11</v>
      </c>
      <c r="N1341" s="65">
        <f t="shared" si="560"/>
        <v>12</v>
      </c>
      <c r="O1341" s="65">
        <f t="shared" si="560"/>
        <v>13</v>
      </c>
      <c r="P1341" s="65">
        <f t="shared" si="560"/>
        <v>14</v>
      </c>
      <c r="Q1341" s="57"/>
    </row>
    <row r="1342">
      <c r="A1342" s="60" t="s">
        <v>738</v>
      </c>
      <c r="B1342" s="60" t="s">
        <v>324</v>
      </c>
      <c r="C1342" s="57"/>
      <c r="D1342" s="57"/>
      <c r="E1342" s="57"/>
      <c r="F1342" s="57"/>
      <c r="G1342" s="57"/>
      <c r="H1342" s="57"/>
      <c r="I1342" s="57"/>
      <c r="J1342" s="57"/>
      <c r="K1342" s="63"/>
      <c r="L1342" s="57"/>
      <c r="M1342" s="57"/>
      <c r="N1342" s="57"/>
      <c r="O1342" s="57"/>
      <c r="P1342" s="57"/>
      <c r="Q1342" s="57"/>
    </row>
    <row r="1343">
      <c r="A1343" s="60" t="s">
        <v>739</v>
      </c>
      <c r="B1343" s="60" t="s">
        <v>509</v>
      </c>
      <c r="C1343" s="57"/>
      <c r="D1343" s="57"/>
      <c r="E1343" s="57"/>
      <c r="F1343" s="57"/>
      <c r="G1343" s="57"/>
      <c r="H1343" s="57"/>
      <c r="I1343" s="57"/>
      <c r="J1343" s="57"/>
      <c r="K1343" s="63"/>
      <c r="L1343" s="57"/>
      <c r="M1343" s="57"/>
      <c r="N1343" s="57"/>
      <c r="O1343" s="57"/>
      <c r="P1343" s="57"/>
      <c r="Q1343" s="57"/>
    </row>
    <row r="1344">
      <c r="A1344" s="60" t="s">
        <v>740</v>
      </c>
      <c r="B1344" s="60">
        <v>3.0</v>
      </c>
      <c r="C1344" s="57"/>
      <c r="D1344" s="57"/>
      <c r="E1344" s="57"/>
      <c r="F1344" s="57"/>
      <c r="G1344" s="57"/>
      <c r="H1344" s="57"/>
      <c r="I1344" s="57"/>
      <c r="J1344" s="57"/>
      <c r="K1344" s="63"/>
      <c r="L1344" s="57"/>
      <c r="M1344" s="57"/>
      <c r="N1344" s="57"/>
      <c r="O1344" s="57"/>
      <c r="P1344" s="57"/>
      <c r="Q1344" s="57"/>
    </row>
    <row r="1345">
      <c r="A1345" s="60" t="s">
        <v>741</v>
      </c>
      <c r="B1345" s="60">
        <v>2.0</v>
      </c>
      <c r="C1345" s="57"/>
      <c r="D1345" s="57"/>
      <c r="E1345" s="57"/>
      <c r="F1345" s="57"/>
      <c r="G1345" s="57"/>
      <c r="H1345" s="57"/>
      <c r="I1345" s="57"/>
      <c r="J1345" s="57"/>
      <c r="K1345" s="63"/>
      <c r="L1345" s="57"/>
      <c r="M1345" s="57"/>
      <c r="N1345" s="57"/>
      <c r="O1345" s="57"/>
      <c r="P1345" s="57"/>
      <c r="Q1345" s="57"/>
    </row>
    <row r="1346">
      <c r="A1346" s="60" t="s">
        <v>489</v>
      </c>
      <c r="B1346" s="60" t="s">
        <v>505</v>
      </c>
      <c r="C1346" s="57"/>
      <c r="D1346" s="57"/>
      <c r="E1346" s="57"/>
      <c r="F1346" s="57"/>
      <c r="G1346" s="57"/>
      <c r="H1346" s="57"/>
      <c r="I1346" s="57"/>
      <c r="J1346" s="57"/>
      <c r="K1346" s="63"/>
      <c r="L1346" s="57"/>
      <c r="M1346" s="57"/>
      <c r="N1346" s="57"/>
      <c r="O1346" s="57"/>
      <c r="P1346" s="57"/>
      <c r="Q1346" s="57"/>
    </row>
    <row r="1347">
      <c r="A1347" s="60" t="s">
        <v>449</v>
      </c>
      <c r="B1347" s="60" t="s">
        <v>450</v>
      </c>
      <c r="C1347" s="57"/>
      <c r="D1347" s="57"/>
      <c r="E1347" s="57"/>
      <c r="F1347" s="57"/>
      <c r="G1347" s="57"/>
      <c r="H1347" s="57"/>
      <c r="I1347" s="57"/>
      <c r="J1347" s="57"/>
      <c r="K1347" s="63"/>
      <c r="L1347" s="57"/>
      <c r="M1347" s="57"/>
      <c r="N1347" s="57"/>
      <c r="O1347" s="57"/>
      <c r="P1347" s="57"/>
      <c r="Q1347" s="57"/>
    </row>
    <row r="1348">
      <c r="A1348" s="68" t="s">
        <v>305</v>
      </c>
      <c r="B1348" s="60" t="s">
        <v>416</v>
      </c>
      <c r="C1348" s="57"/>
      <c r="D1348" s="57"/>
      <c r="E1348" s="57"/>
      <c r="F1348" s="57"/>
      <c r="G1348" s="57"/>
      <c r="H1348" s="57"/>
      <c r="I1348" s="57"/>
      <c r="J1348" s="57"/>
      <c r="K1348" s="63"/>
      <c r="L1348" s="57"/>
      <c r="M1348" s="57"/>
      <c r="N1348" s="57"/>
      <c r="O1348" s="57"/>
      <c r="P1348" s="57"/>
      <c r="Q1348" s="57"/>
    </row>
    <row r="1349">
      <c r="A1349" s="60" t="s">
        <v>771</v>
      </c>
      <c r="B1349" s="60"/>
      <c r="C1349" s="57"/>
      <c r="D1349" s="57"/>
      <c r="E1349" s="57">
        <f t="shared" ref="E1349:P1349" si="561">ROUNDDOWN(E1351*3.5,0)</f>
        <v>136</v>
      </c>
      <c r="F1349" s="57">
        <f t="shared" si="561"/>
        <v>147</v>
      </c>
      <c r="G1349" s="57">
        <f t="shared" si="561"/>
        <v>164</v>
      </c>
      <c r="H1349" s="57">
        <f t="shared" si="561"/>
        <v>178</v>
      </c>
      <c r="I1349" s="57">
        <f t="shared" si="561"/>
        <v>196</v>
      </c>
      <c r="J1349" s="57">
        <f t="shared" si="561"/>
        <v>217</v>
      </c>
      <c r="K1349" s="63">
        <f t="shared" si="561"/>
        <v>238</v>
      </c>
      <c r="L1349" s="57">
        <f t="shared" si="561"/>
        <v>262</v>
      </c>
      <c r="M1349" s="57">
        <f t="shared" si="561"/>
        <v>287</v>
      </c>
      <c r="N1349" s="57">
        <f t="shared" si="561"/>
        <v>315</v>
      </c>
      <c r="O1349" s="57">
        <f t="shared" si="561"/>
        <v>346</v>
      </c>
      <c r="P1349" s="57">
        <f t="shared" si="561"/>
        <v>381</v>
      </c>
      <c r="Q1349" s="57"/>
    </row>
    <row r="1350">
      <c r="A1350" s="60" t="s">
        <v>639</v>
      </c>
      <c r="B1350" s="60"/>
      <c r="C1350" s="57"/>
      <c r="D1350" s="57"/>
      <c r="E1350" s="65">
        <f t="shared" ref="E1350:P1350" si="562">ROUNDUP(E1351*0.85,0)</f>
        <v>34</v>
      </c>
      <c r="F1350" s="65">
        <f t="shared" si="562"/>
        <v>36</v>
      </c>
      <c r="G1350" s="65">
        <f t="shared" si="562"/>
        <v>40</v>
      </c>
      <c r="H1350" s="65">
        <f t="shared" si="562"/>
        <v>44</v>
      </c>
      <c r="I1350" s="65">
        <f t="shared" si="562"/>
        <v>48</v>
      </c>
      <c r="J1350" s="65">
        <f t="shared" si="562"/>
        <v>53</v>
      </c>
      <c r="K1350" s="66">
        <f t="shared" si="562"/>
        <v>58</v>
      </c>
      <c r="L1350" s="65">
        <f t="shared" si="562"/>
        <v>64</v>
      </c>
      <c r="M1350" s="65">
        <f t="shared" si="562"/>
        <v>70</v>
      </c>
      <c r="N1350" s="65">
        <f t="shared" si="562"/>
        <v>77</v>
      </c>
      <c r="O1350" s="65">
        <f t="shared" si="562"/>
        <v>85</v>
      </c>
      <c r="P1350" s="65">
        <f t="shared" si="562"/>
        <v>93</v>
      </c>
      <c r="Q1350" s="57"/>
    </row>
    <row r="1351">
      <c r="A1351" s="60" t="s">
        <v>35</v>
      </c>
      <c r="B1351" s="60"/>
      <c r="C1351" s="57"/>
      <c r="D1351" s="57"/>
      <c r="E1351" s="65">
        <v>39.0</v>
      </c>
      <c r="F1351" s="57">
        <f>ROUNDDOWN(E1351*1.1,0)</f>
        <v>42</v>
      </c>
      <c r="G1351" s="57">
        <f>ROUNDDOWN(E1351*1.21,0)</f>
        <v>47</v>
      </c>
      <c r="H1351" s="57">
        <f>ROUNDDOWN(E1351*1.33,0)</f>
        <v>51</v>
      </c>
      <c r="I1351" s="57">
        <f>ROUNDDOWN(E1351*1.46,0)</f>
        <v>56</v>
      </c>
      <c r="J1351" s="57">
        <f>ROUNDDOWN(E1351*1.6,0)</f>
        <v>62</v>
      </c>
      <c r="K1351" s="63">
        <f>ROUNDDOWN(E1351*1.76,0)</f>
        <v>68</v>
      </c>
      <c r="L1351" s="57">
        <f>ROUNDDOWN(E1351*1.93,0)</f>
        <v>75</v>
      </c>
      <c r="M1351" s="57">
        <f>ROUNDDOWN(E1351*2.12,0)</f>
        <v>82</v>
      </c>
      <c r="N1351" s="57">
        <f>ROUNDDOWN(E1351*2.33,0)</f>
        <v>90</v>
      </c>
      <c r="O1351" s="57">
        <f>ROUNDDOWN(E1351*2.56,0)</f>
        <v>99</v>
      </c>
      <c r="P1351" s="57">
        <f>ROUNDDOWN(E1351*2.81,0)</f>
        <v>109</v>
      </c>
      <c r="Q1351" s="57"/>
    </row>
    <row r="1352">
      <c r="A1352" s="60" t="s">
        <v>62</v>
      </c>
      <c r="B1352" s="60" t="s">
        <v>541</v>
      </c>
      <c r="C1352" s="57"/>
      <c r="D1352" s="57"/>
      <c r="E1352" s="57"/>
      <c r="F1352" s="57"/>
      <c r="G1352" s="57"/>
      <c r="H1352" s="57"/>
      <c r="I1352" s="57"/>
      <c r="J1352" s="57"/>
      <c r="K1352" s="63"/>
      <c r="L1352" s="57"/>
      <c r="M1352" s="57"/>
      <c r="N1352" s="57"/>
      <c r="O1352" s="57"/>
      <c r="P1352" s="57"/>
      <c r="Q1352" s="57"/>
    </row>
    <row r="1353">
      <c r="A1353" s="60" t="s">
        <v>80</v>
      </c>
      <c r="B1353" s="60" t="s">
        <v>499</v>
      </c>
      <c r="C1353" s="57"/>
      <c r="D1353" s="57"/>
      <c r="E1353" s="57"/>
      <c r="F1353" s="57"/>
      <c r="G1353" s="57"/>
      <c r="H1353" s="57"/>
      <c r="I1353" s="57"/>
      <c r="J1353" s="57"/>
      <c r="K1353" s="63"/>
      <c r="L1353" s="57"/>
      <c r="M1353" s="57"/>
      <c r="N1353" s="57"/>
      <c r="O1353" s="57"/>
      <c r="P1353" s="57"/>
      <c r="Q1353" s="57"/>
    </row>
    <row r="1354">
      <c r="A1354" s="60" t="s">
        <v>772</v>
      </c>
      <c r="B1354" s="60" t="s">
        <v>430</v>
      </c>
      <c r="C1354" s="57"/>
      <c r="D1354" s="57"/>
      <c r="E1354" s="57"/>
      <c r="F1354" s="57"/>
      <c r="G1354" s="57"/>
      <c r="H1354" s="57"/>
      <c r="I1354" s="57"/>
      <c r="J1354" s="57"/>
      <c r="K1354" s="63"/>
      <c r="L1354" s="57"/>
      <c r="M1354" s="57"/>
      <c r="N1354" s="57"/>
      <c r="O1354" s="57"/>
      <c r="P1354" s="57"/>
      <c r="Q1354" s="57"/>
    </row>
    <row r="1355">
      <c r="A1355" s="60" t="s">
        <v>642</v>
      </c>
      <c r="B1355" s="60" t="s">
        <v>430</v>
      </c>
      <c r="C1355" s="57"/>
      <c r="D1355" s="57"/>
      <c r="E1355" s="57"/>
      <c r="F1355" s="57"/>
      <c r="G1355" s="57"/>
      <c r="H1355" s="57"/>
      <c r="I1355" s="57"/>
      <c r="J1355" s="57"/>
      <c r="K1355" s="63"/>
      <c r="L1355" s="57"/>
      <c r="M1355" s="57"/>
      <c r="N1355" s="57"/>
      <c r="O1355" s="57"/>
      <c r="P1355" s="57"/>
      <c r="Q1355" s="57"/>
    </row>
    <row r="1356">
      <c r="A1356" s="60" t="s">
        <v>773</v>
      </c>
      <c r="B1356" s="82">
        <v>-0.5</v>
      </c>
      <c r="C1356" s="57"/>
      <c r="D1356" s="57"/>
      <c r="E1356" s="57"/>
      <c r="F1356" s="57"/>
      <c r="G1356" s="57"/>
      <c r="H1356" s="57"/>
      <c r="I1356" s="57"/>
      <c r="J1356" s="57"/>
      <c r="K1356" s="63"/>
      <c r="L1356" s="57"/>
      <c r="M1356" s="57"/>
      <c r="N1356" s="57"/>
      <c r="O1356" s="57"/>
      <c r="P1356" s="57"/>
      <c r="Q1356" s="57"/>
    </row>
    <row r="1357">
      <c r="A1357" s="60" t="s">
        <v>50</v>
      </c>
      <c r="B1357" s="60" t="s">
        <v>98</v>
      </c>
      <c r="C1357" s="57"/>
      <c r="D1357" s="57"/>
      <c r="E1357" s="57"/>
      <c r="F1357" s="57"/>
      <c r="G1357" s="57"/>
      <c r="H1357" s="57"/>
      <c r="I1357" s="57"/>
      <c r="J1357" s="57"/>
      <c r="K1357" s="63"/>
      <c r="L1357" s="57"/>
      <c r="M1357" s="57"/>
      <c r="N1357" s="57"/>
      <c r="O1357" s="57"/>
      <c r="P1357" s="57"/>
      <c r="Q1357" s="57"/>
    </row>
    <row r="1358">
      <c r="A1358" s="68" t="s">
        <v>232</v>
      </c>
      <c r="B1358" s="60" t="s">
        <v>416</v>
      </c>
      <c r="C1358" s="57"/>
      <c r="D1358" s="57"/>
      <c r="E1358" s="57"/>
      <c r="F1358" s="57"/>
      <c r="G1358" s="57"/>
      <c r="H1358" s="57"/>
      <c r="I1358" s="57"/>
      <c r="J1358" s="57"/>
      <c r="K1358" s="63"/>
      <c r="L1358" s="57"/>
      <c r="M1358" s="57"/>
      <c r="N1358" s="57"/>
      <c r="O1358" s="57"/>
      <c r="P1358" s="57"/>
      <c r="Q1358" s="57"/>
    </row>
    <row r="1359">
      <c r="A1359" s="60" t="s">
        <v>38</v>
      </c>
      <c r="B1359" s="26"/>
      <c r="C1359" s="57"/>
      <c r="D1359" s="57"/>
      <c r="E1359" s="65">
        <v>123.0</v>
      </c>
      <c r="F1359" s="57">
        <f t="shared" ref="F1359:F1360" si="563">ROUNDDOWN(E1359*1.1,0)</f>
        <v>135</v>
      </c>
      <c r="G1359" s="57">
        <f t="shared" ref="G1359:G1360" si="564">ROUNDDOWN(E1359*1.21,0)</f>
        <v>148</v>
      </c>
      <c r="H1359" s="57">
        <f t="shared" ref="H1359:H1360" si="565">ROUNDDOWN(E1359*1.33,0)</f>
        <v>163</v>
      </c>
      <c r="I1359" s="57">
        <f t="shared" ref="I1359:I1360" si="566">ROUNDDOWN(E1359*1.46,0)</f>
        <v>179</v>
      </c>
      <c r="J1359" s="57">
        <f t="shared" ref="J1359:J1360" si="567">ROUNDDOWN(E1359*1.6,0)</f>
        <v>196</v>
      </c>
      <c r="K1359" s="63">
        <f t="shared" ref="K1359:K1360" si="568">ROUNDDOWN(E1359*1.76,0)</f>
        <v>216</v>
      </c>
      <c r="L1359" s="57">
        <f t="shared" ref="L1359:L1360" si="569">ROUNDDOWN(E1359*1.93,0)</f>
        <v>237</v>
      </c>
      <c r="M1359" s="57">
        <f t="shared" ref="M1359:M1360" si="570">ROUNDDOWN(E1359*2.12,0)</f>
        <v>260</v>
      </c>
      <c r="N1359" s="57">
        <f t="shared" ref="N1359:N1360" si="571">ROUNDDOWN(E1359*2.33,0)</f>
        <v>286</v>
      </c>
      <c r="O1359" s="57">
        <f t="shared" ref="O1359:O1360" si="572">ROUNDDOWN(E1359*2.56,0)</f>
        <v>314</v>
      </c>
      <c r="P1359" s="57">
        <f t="shared" ref="P1359:P1360" si="573">ROUNDDOWN(E1359*2.81,0)</f>
        <v>345</v>
      </c>
      <c r="Q1359" s="57"/>
    </row>
    <row r="1360">
      <c r="A1360" s="60" t="s">
        <v>24</v>
      </c>
      <c r="B1360" s="26"/>
      <c r="C1360" s="57"/>
      <c r="D1360" s="57"/>
      <c r="E1360" s="65">
        <v>57.0</v>
      </c>
      <c r="F1360" s="57">
        <f t="shared" si="563"/>
        <v>62</v>
      </c>
      <c r="G1360" s="57">
        <f t="shared" si="564"/>
        <v>68</v>
      </c>
      <c r="H1360" s="57">
        <f t="shared" si="565"/>
        <v>75</v>
      </c>
      <c r="I1360" s="57">
        <f t="shared" si="566"/>
        <v>83</v>
      </c>
      <c r="J1360" s="57">
        <f t="shared" si="567"/>
        <v>91</v>
      </c>
      <c r="K1360" s="63">
        <f t="shared" si="568"/>
        <v>100</v>
      </c>
      <c r="L1360" s="57">
        <f t="shared" si="569"/>
        <v>110</v>
      </c>
      <c r="M1360" s="57">
        <f t="shared" si="570"/>
        <v>120</v>
      </c>
      <c r="N1360" s="57">
        <f t="shared" si="571"/>
        <v>132</v>
      </c>
      <c r="O1360" s="57">
        <f t="shared" si="572"/>
        <v>145</v>
      </c>
      <c r="P1360" s="57">
        <f t="shared" si="573"/>
        <v>160</v>
      </c>
      <c r="Q1360" s="57"/>
    </row>
    <row r="1361">
      <c r="A1361" s="60" t="s">
        <v>428</v>
      </c>
      <c r="B1361" s="60" t="s">
        <v>469</v>
      </c>
      <c r="C1361" s="57"/>
      <c r="D1361" s="57"/>
      <c r="E1361" s="57"/>
      <c r="F1361" s="57"/>
      <c r="G1361" s="57"/>
      <c r="H1361" s="57"/>
      <c r="I1361" s="57"/>
      <c r="J1361" s="57"/>
      <c r="K1361" s="63"/>
      <c r="L1361" s="57"/>
      <c r="M1361" s="57"/>
      <c r="N1361" s="57"/>
      <c r="O1361" s="57"/>
      <c r="P1361" s="57"/>
      <c r="Q1361" s="57"/>
    </row>
    <row r="1362">
      <c r="A1362" s="60" t="s">
        <v>55</v>
      </c>
      <c r="B1362" s="60" t="s">
        <v>430</v>
      </c>
      <c r="C1362" s="57"/>
      <c r="D1362" s="57"/>
      <c r="E1362" s="57"/>
      <c r="F1362" s="57"/>
      <c r="G1362" s="57"/>
      <c r="H1362" s="57"/>
      <c r="I1362" s="57"/>
      <c r="J1362" s="57"/>
      <c r="K1362" s="63"/>
      <c r="L1362" s="57"/>
      <c r="M1362" s="57"/>
      <c r="N1362" s="57"/>
      <c r="O1362" s="57"/>
      <c r="P1362" s="57"/>
      <c r="Q1362" s="57"/>
    </row>
    <row r="1363">
      <c r="A1363" s="60" t="s">
        <v>51</v>
      </c>
      <c r="B1363" s="60" t="s">
        <v>482</v>
      </c>
      <c r="C1363" s="57"/>
      <c r="D1363" s="57"/>
      <c r="E1363" s="57"/>
      <c r="F1363" s="57"/>
      <c r="G1363" s="57"/>
      <c r="H1363" s="57"/>
      <c r="I1363" s="57"/>
      <c r="J1363" s="57"/>
      <c r="K1363" s="63"/>
      <c r="L1363" s="57"/>
      <c r="M1363" s="57"/>
      <c r="N1363" s="57"/>
      <c r="O1363" s="57"/>
      <c r="P1363" s="57"/>
      <c r="Q1363" s="57"/>
    </row>
    <row r="1364">
      <c r="A1364" s="60" t="s">
        <v>49</v>
      </c>
      <c r="B1364" s="60" t="s">
        <v>457</v>
      </c>
      <c r="C1364" s="57"/>
      <c r="D1364" s="57"/>
      <c r="E1364" s="57"/>
      <c r="F1364" s="57"/>
      <c r="G1364" s="57"/>
      <c r="H1364" s="57"/>
      <c r="I1364" s="57"/>
      <c r="J1364" s="57"/>
      <c r="K1364" s="63"/>
      <c r="L1364" s="57"/>
      <c r="M1364" s="57"/>
      <c r="N1364" s="57"/>
      <c r="O1364" s="57"/>
      <c r="P1364" s="57"/>
      <c r="Q1364" s="57"/>
    </row>
    <row r="1365">
      <c r="A1365" s="60" t="s">
        <v>432</v>
      </c>
      <c r="B1365" s="60" t="s">
        <v>774</v>
      </c>
      <c r="C1365" s="57"/>
      <c r="D1365" s="57"/>
      <c r="E1365" s="57"/>
      <c r="F1365" s="57"/>
      <c r="G1365" s="57"/>
      <c r="H1365" s="57"/>
      <c r="I1365" s="57"/>
      <c r="J1365" s="57"/>
      <c r="K1365" s="63"/>
      <c r="L1365" s="57"/>
      <c r="M1365" s="57"/>
      <c r="N1365" s="57"/>
      <c r="O1365" s="57"/>
      <c r="P1365" s="57"/>
      <c r="Q1365" s="57"/>
    </row>
    <row r="1366">
      <c r="A1366" s="60" t="s">
        <v>422</v>
      </c>
      <c r="B1366" s="60" t="s">
        <v>672</v>
      </c>
      <c r="C1366" s="57"/>
      <c r="D1366" s="57"/>
      <c r="E1366" s="57"/>
      <c r="F1366" s="57"/>
      <c r="G1366" s="57"/>
      <c r="H1366" s="57"/>
      <c r="I1366" s="57"/>
      <c r="J1366" s="57"/>
      <c r="K1366" s="63"/>
      <c r="L1366" s="57"/>
      <c r="M1366" s="57"/>
      <c r="N1366" s="57"/>
      <c r="O1366" s="57"/>
      <c r="P1366" s="57"/>
      <c r="Q1366" s="57"/>
    </row>
    <row r="1367">
      <c r="A1367" s="60" t="s">
        <v>435</v>
      </c>
      <c r="B1367" s="60" t="s">
        <v>436</v>
      </c>
      <c r="C1367" s="57"/>
      <c r="D1367" s="57"/>
      <c r="E1367" s="57"/>
      <c r="F1367" s="57"/>
      <c r="G1367" s="57"/>
      <c r="H1367" s="57"/>
      <c r="I1367" s="57"/>
      <c r="J1367" s="57"/>
      <c r="K1367" s="63"/>
      <c r="L1367" s="57"/>
      <c r="M1367" s="57"/>
      <c r="N1367" s="57"/>
      <c r="O1367" s="57"/>
      <c r="P1367" s="57"/>
      <c r="Q1367" s="57"/>
    </row>
    <row r="1368">
      <c r="A1368" s="60" t="s">
        <v>426</v>
      </c>
      <c r="B1368" s="60" t="s">
        <v>673</v>
      </c>
      <c r="C1368" s="57"/>
      <c r="D1368" s="57"/>
      <c r="E1368" s="57"/>
      <c r="F1368" s="57"/>
      <c r="G1368" s="57"/>
      <c r="H1368" s="57"/>
      <c r="I1368" s="57"/>
      <c r="J1368" s="57"/>
      <c r="K1368" s="63"/>
      <c r="L1368" s="57"/>
      <c r="M1368" s="57"/>
      <c r="N1368" s="57"/>
      <c r="O1368" s="57"/>
      <c r="P1368" s="57"/>
      <c r="Q1368" s="57"/>
    </row>
    <row r="1369">
      <c r="A1369" s="60" t="s">
        <v>53</v>
      </c>
      <c r="B1369" s="60" t="s">
        <v>525</v>
      </c>
      <c r="C1369" s="57"/>
      <c r="D1369" s="57"/>
      <c r="E1369" s="57"/>
      <c r="F1369" s="57"/>
      <c r="G1369" s="57"/>
      <c r="H1369" s="57"/>
      <c r="I1369" s="57"/>
      <c r="J1369" s="57"/>
      <c r="K1369" s="63"/>
      <c r="L1369" s="57"/>
      <c r="M1369" s="57"/>
      <c r="N1369" s="57"/>
      <c r="O1369" s="57"/>
      <c r="P1369" s="57"/>
      <c r="Q1369" s="57"/>
    </row>
    <row r="1370">
      <c r="A1370" s="60" t="s">
        <v>50</v>
      </c>
      <c r="B1370" s="60" t="s">
        <v>425</v>
      </c>
      <c r="C1370" s="57"/>
      <c r="D1370" s="57"/>
      <c r="E1370" s="57"/>
      <c r="F1370" s="57"/>
      <c r="G1370" s="57"/>
      <c r="H1370" s="57"/>
      <c r="I1370" s="57"/>
      <c r="J1370" s="57"/>
      <c r="K1370" s="63"/>
      <c r="L1370" s="57"/>
      <c r="M1370" s="57"/>
      <c r="N1370" s="57"/>
      <c r="O1370" s="57"/>
      <c r="P1370" s="57"/>
      <c r="Q1370" s="57"/>
    </row>
    <row r="1371">
      <c r="A1371" s="60" t="s">
        <v>438</v>
      </c>
      <c r="B1371" s="60" t="s">
        <v>436</v>
      </c>
      <c r="C1371" s="57"/>
      <c r="D1371" s="57"/>
      <c r="E1371" s="57"/>
      <c r="F1371" s="57"/>
      <c r="G1371" s="57"/>
      <c r="H1371" s="57"/>
      <c r="I1371" s="57"/>
      <c r="J1371" s="57"/>
      <c r="K1371" s="63"/>
      <c r="L1371" s="57"/>
      <c r="M1371" s="57"/>
      <c r="N1371" s="57"/>
      <c r="O1371" s="57"/>
      <c r="P1371" s="57"/>
      <c r="Q1371" s="57"/>
    </row>
    <row r="1372">
      <c r="A1372" s="60" t="s">
        <v>439</v>
      </c>
      <c r="B1372" s="60" t="s">
        <v>440</v>
      </c>
      <c r="C1372" s="57"/>
      <c r="D1372" s="57"/>
      <c r="E1372" s="57"/>
      <c r="F1372" s="57"/>
      <c r="G1372" s="57"/>
      <c r="H1372" s="57"/>
      <c r="I1372" s="57"/>
      <c r="J1372" s="57"/>
      <c r="K1372" s="63"/>
      <c r="L1372" s="57"/>
      <c r="M1372" s="57"/>
      <c r="N1372" s="57"/>
      <c r="O1372" s="57"/>
      <c r="P1372" s="57"/>
      <c r="Q1372" s="57"/>
    </row>
    <row r="1373">
      <c r="A1373" s="60" t="s">
        <v>441</v>
      </c>
      <c r="B1373" s="60">
        <v>3.0</v>
      </c>
      <c r="C1373" s="57"/>
      <c r="D1373" s="57"/>
      <c r="E1373" s="57"/>
      <c r="F1373" s="57"/>
      <c r="G1373" s="57"/>
      <c r="H1373" s="57"/>
      <c r="I1373" s="57"/>
      <c r="J1373" s="57"/>
      <c r="K1373" s="63"/>
      <c r="L1373" s="57"/>
      <c r="M1373" s="57"/>
      <c r="N1373" s="57"/>
      <c r="O1373" s="57"/>
      <c r="P1373" s="57"/>
      <c r="Q1373" s="57"/>
    </row>
    <row r="1374">
      <c r="A1374" s="60" t="s">
        <v>444</v>
      </c>
      <c r="B1374" s="60" t="s">
        <v>458</v>
      </c>
      <c r="C1374" s="57"/>
      <c r="D1374" s="57"/>
      <c r="E1374" s="57"/>
      <c r="F1374" s="57"/>
      <c r="G1374" s="57"/>
      <c r="H1374" s="57"/>
      <c r="I1374" s="57"/>
      <c r="J1374" s="57"/>
      <c r="K1374" s="63"/>
      <c r="L1374" s="57"/>
      <c r="M1374" s="57"/>
      <c r="N1374" s="57"/>
      <c r="O1374" s="57"/>
      <c r="P1374" s="57"/>
      <c r="Q1374" s="57"/>
    </row>
    <row r="1375">
      <c r="A1375" s="60" t="s">
        <v>446</v>
      </c>
      <c r="B1375" s="60" t="s">
        <v>437</v>
      </c>
      <c r="C1375" s="57"/>
      <c r="D1375" s="57"/>
      <c r="E1375" s="57"/>
      <c r="F1375" s="57"/>
      <c r="G1375" s="57"/>
      <c r="H1375" s="57"/>
      <c r="I1375" s="57"/>
      <c r="J1375" s="57"/>
      <c r="K1375" s="63"/>
      <c r="L1375" s="57"/>
      <c r="M1375" s="57"/>
      <c r="N1375" s="57"/>
      <c r="O1375" s="57"/>
      <c r="P1375" s="57"/>
      <c r="Q1375" s="57"/>
    </row>
    <row r="1376">
      <c r="A1376" s="60" t="s">
        <v>447</v>
      </c>
      <c r="B1376" s="60" t="s">
        <v>448</v>
      </c>
      <c r="C1376" s="57"/>
      <c r="D1376" s="57"/>
      <c r="E1376" s="57"/>
      <c r="F1376" s="57"/>
      <c r="G1376" s="57"/>
      <c r="H1376" s="57"/>
      <c r="I1376" s="57"/>
      <c r="J1376" s="57"/>
      <c r="K1376" s="63"/>
      <c r="L1376" s="57"/>
      <c r="M1376" s="57"/>
      <c r="N1376" s="57"/>
      <c r="O1376" s="57"/>
      <c r="P1376" s="57"/>
      <c r="Q1376" s="57"/>
    </row>
    <row r="1377">
      <c r="A1377" s="76" t="s">
        <v>236</v>
      </c>
      <c r="B1377" s="60" t="s">
        <v>539</v>
      </c>
      <c r="C1377" s="57"/>
      <c r="D1377" s="57"/>
      <c r="E1377" s="57"/>
      <c r="F1377" s="57"/>
      <c r="G1377" s="57"/>
      <c r="H1377" s="57"/>
      <c r="I1377" s="57"/>
      <c r="J1377" s="57"/>
      <c r="K1377" s="63"/>
      <c r="L1377" s="57"/>
      <c r="M1377" s="57"/>
      <c r="N1377" s="57"/>
      <c r="O1377" s="57"/>
      <c r="P1377" s="57"/>
      <c r="Q1377" s="57"/>
    </row>
    <row r="1378">
      <c r="A1378" s="60" t="s">
        <v>38</v>
      </c>
      <c r="B1378" s="60"/>
      <c r="C1378" s="57"/>
      <c r="D1378" s="57"/>
      <c r="E1378" s="57"/>
      <c r="F1378" s="57"/>
      <c r="G1378" s="57"/>
      <c r="H1378" s="65">
        <v>1967.0</v>
      </c>
      <c r="I1378" s="57">
        <f t="shared" ref="I1378:I1379" si="574">ROUNDDOWN(H1378*1.1,0)</f>
        <v>2163</v>
      </c>
      <c r="J1378" s="57">
        <f t="shared" ref="J1378:J1379" si="575">ROUNDDOWN(H1378*1.21,0)</f>
        <v>2380</v>
      </c>
      <c r="K1378" s="63">
        <f t="shared" ref="K1378:K1379" si="576">ROUNDDOWN(H1378*1.33,0)</f>
        <v>2616</v>
      </c>
      <c r="L1378" s="57">
        <f t="shared" ref="L1378:L1379" si="577">ROUNDDOWN(H1378*1.46,0)</f>
        <v>2871</v>
      </c>
      <c r="M1378" s="57">
        <f t="shared" ref="M1378:M1379" si="578">ROUNDDOWN(H1378*1.6,0)</f>
        <v>3147</v>
      </c>
      <c r="N1378" s="57">
        <f t="shared" ref="N1378:N1379" si="579">ROUNDDOWN(H1378*1.76,0)</f>
        <v>3461</v>
      </c>
      <c r="O1378" s="57">
        <f t="shared" ref="O1378:O1379" si="580">ROUNDDOWN(H1378*1.93,0)</f>
        <v>3796</v>
      </c>
      <c r="P1378" s="57">
        <f t="shared" ref="P1378:P1379" si="581">ROUNDDOWN(H1378*2.12,0)</f>
        <v>4170</v>
      </c>
      <c r="Q1378" s="57"/>
    </row>
    <row r="1379">
      <c r="A1379" s="60" t="s">
        <v>24</v>
      </c>
      <c r="B1379" s="60"/>
      <c r="C1379" s="57"/>
      <c r="D1379" s="57"/>
      <c r="E1379" s="57"/>
      <c r="F1379" s="57"/>
      <c r="G1379" s="57"/>
      <c r="H1379" s="65">
        <v>110.0</v>
      </c>
      <c r="I1379" s="57">
        <f t="shared" si="574"/>
        <v>121</v>
      </c>
      <c r="J1379" s="57">
        <f t="shared" si="575"/>
        <v>133</v>
      </c>
      <c r="K1379" s="63">
        <f t="shared" si="576"/>
        <v>146</v>
      </c>
      <c r="L1379" s="57">
        <f t="shared" si="577"/>
        <v>160</v>
      </c>
      <c r="M1379" s="57">
        <f t="shared" si="578"/>
        <v>176</v>
      </c>
      <c r="N1379" s="57">
        <f t="shared" si="579"/>
        <v>193</v>
      </c>
      <c r="O1379" s="57">
        <f t="shared" si="580"/>
        <v>212</v>
      </c>
      <c r="P1379" s="57">
        <f t="shared" si="581"/>
        <v>233</v>
      </c>
      <c r="Q1379" s="57"/>
    </row>
    <row r="1380">
      <c r="A1380" s="60" t="s">
        <v>503</v>
      </c>
      <c r="B1380" s="60"/>
      <c r="C1380" s="57"/>
      <c r="D1380" s="57"/>
      <c r="E1380" s="57"/>
      <c r="F1380" s="57"/>
      <c r="G1380" s="57"/>
      <c r="H1380" s="65">
        <f t="shared" ref="H1380:P1380" si="582">H$3</f>
        <v>6</v>
      </c>
      <c r="I1380" s="65">
        <f t="shared" si="582"/>
        <v>7</v>
      </c>
      <c r="J1380" s="65">
        <f t="shared" si="582"/>
        <v>8</v>
      </c>
      <c r="K1380" s="66">
        <f t="shared" si="582"/>
        <v>9</v>
      </c>
      <c r="L1380" s="65">
        <f t="shared" si="582"/>
        <v>10</v>
      </c>
      <c r="M1380" s="65">
        <f t="shared" si="582"/>
        <v>11</v>
      </c>
      <c r="N1380" s="65">
        <f t="shared" si="582"/>
        <v>12</v>
      </c>
      <c r="O1380" s="65">
        <f t="shared" si="582"/>
        <v>13</v>
      </c>
      <c r="P1380" s="65">
        <f t="shared" si="582"/>
        <v>14</v>
      </c>
      <c r="Q1380" s="57"/>
    </row>
    <row r="1381">
      <c r="A1381" s="60" t="s">
        <v>775</v>
      </c>
      <c r="B1381" s="60"/>
      <c r="C1381" s="86">
        <v>32.0</v>
      </c>
      <c r="D1381" s="57"/>
      <c r="E1381" s="57"/>
      <c r="F1381" s="57"/>
      <c r="G1381" s="57"/>
      <c r="H1381" s="57">
        <f>ROUNDDOWN(C1381*1.6,0)</f>
        <v>51</v>
      </c>
      <c r="I1381" s="57">
        <f>ROUNDDOWN(C1381*1.76,0)</f>
        <v>56</v>
      </c>
      <c r="J1381" s="57">
        <f>ROUNDDOWN(C1381*1.93,0)</f>
        <v>61</v>
      </c>
      <c r="K1381" s="63">
        <f>ROUNDDOWN(C1381*2.12,0)</f>
        <v>67</v>
      </c>
      <c r="L1381" s="57">
        <f>ROUNDDOWN(C1381*2.33,0)</f>
        <v>74</v>
      </c>
      <c r="M1381" s="57">
        <f>ROUNDDOWN(C1381*2.56,0)</f>
        <v>81</v>
      </c>
      <c r="N1381" s="57">
        <f>ROUNDDOWN(C1381*2.81,0)</f>
        <v>89</v>
      </c>
      <c r="O1381" s="57">
        <f>ROUNDDOWN(C1381*3.09,0)</f>
        <v>98</v>
      </c>
      <c r="P1381" s="57">
        <f>ROUNDDOWN(C1381*3.39,0)</f>
        <v>108</v>
      </c>
      <c r="Q1381" s="57"/>
    </row>
    <row r="1382">
      <c r="A1382" s="60" t="s">
        <v>428</v>
      </c>
      <c r="B1382" s="60" t="s">
        <v>469</v>
      </c>
      <c r="C1382" s="57"/>
      <c r="D1382" s="57"/>
      <c r="E1382" s="57"/>
      <c r="F1382" s="57"/>
      <c r="G1382" s="57"/>
      <c r="H1382" s="57"/>
      <c r="I1382" s="57"/>
      <c r="J1382" s="57"/>
      <c r="K1382" s="63"/>
      <c r="L1382" s="57"/>
      <c r="M1382" s="57"/>
      <c r="N1382" s="57"/>
      <c r="O1382" s="57"/>
      <c r="P1382" s="57"/>
      <c r="Q1382" s="57"/>
    </row>
    <row r="1383">
      <c r="A1383" s="60" t="s">
        <v>55</v>
      </c>
      <c r="B1383" s="60" t="s">
        <v>776</v>
      </c>
      <c r="C1383" s="57"/>
      <c r="D1383" s="57"/>
      <c r="E1383" s="57"/>
      <c r="F1383" s="57"/>
      <c r="G1383" s="57"/>
      <c r="H1383" s="57"/>
      <c r="I1383" s="57"/>
      <c r="J1383" s="57"/>
      <c r="K1383" s="63"/>
      <c r="L1383" s="57"/>
      <c r="M1383" s="57"/>
      <c r="N1383" s="57"/>
      <c r="O1383" s="57"/>
      <c r="P1383" s="57"/>
      <c r="Q1383" s="57"/>
    </row>
    <row r="1384">
      <c r="A1384" s="60" t="s">
        <v>51</v>
      </c>
      <c r="B1384" s="60" t="s">
        <v>451</v>
      </c>
      <c r="C1384" s="57"/>
      <c r="D1384" s="57"/>
      <c r="E1384" s="57"/>
      <c r="F1384" s="57"/>
      <c r="G1384" s="57"/>
      <c r="H1384" s="57"/>
      <c r="I1384" s="57"/>
      <c r="J1384" s="57"/>
      <c r="K1384" s="63"/>
      <c r="L1384" s="57"/>
      <c r="M1384" s="57"/>
      <c r="N1384" s="57"/>
      <c r="O1384" s="57"/>
      <c r="P1384" s="57"/>
      <c r="Q1384" s="57"/>
    </row>
    <row r="1385">
      <c r="A1385" s="60" t="s">
        <v>49</v>
      </c>
      <c r="B1385" s="60" t="s">
        <v>471</v>
      </c>
      <c r="C1385" s="57"/>
      <c r="D1385" s="57"/>
      <c r="E1385" s="57"/>
      <c r="F1385" s="57"/>
      <c r="G1385" s="57"/>
      <c r="H1385" s="57"/>
      <c r="I1385" s="57"/>
      <c r="J1385" s="57"/>
      <c r="K1385" s="63"/>
      <c r="L1385" s="57"/>
      <c r="M1385" s="57"/>
      <c r="N1385" s="57"/>
      <c r="O1385" s="57"/>
      <c r="P1385" s="57"/>
      <c r="Q1385" s="57"/>
    </row>
    <row r="1386">
      <c r="A1386" s="60" t="s">
        <v>432</v>
      </c>
      <c r="B1386" s="60" t="s">
        <v>457</v>
      </c>
      <c r="C1386" s="57"/>
      <c r="D1386" s="57"/>
      <c r="E1386" s="57"/>
      <c r="F1386" s="57"/>
      <c r="G1386" s="57"/>
      <c r="H1386" s="57"/>
      <c r="I1386" s="57"/>
      <c r="J1386" s="57"/>
      <c r="K1386" s="63"/>
      <c r="L1386" s="57"/>
      <c r="M1386" s="57"/>
      <c r="N1386" s="57"/>
      <c r="O1386" s="57"/>
      <c r="P1386" s="57"/>
      <c r="Q1386" s="57"/>
    </row>
    <row r="1387">
      <c r="A1387" s="60" t="s">
        <v>53</v>
      </c>
      <c r="B1387" s="60" t="s">
        <v>458</v>
      </c>
      <c r="C1387" s="57"/>
      <c r="D1387" s="57"/>
      <c r="E1387" s="57"/>
      <c r="F1387" s="57"/>
      <c r="G1387" s="57"/>
      <c r="H1387" s="57"/>
      <c r="I1387" s="57"/>
      <c r="J1387" s="57"/>
      <c r="K1387" s="63"/>
      <c r="L1387" s="57"/>
      <c r="M1387" s="57"/>
      <c r="N1387" s="57"/>
      <c r="O1387" s="57"/>
      <c r="P1387" s="57"/>
      <c r="Q1387" s="57"/>
    </row>
    <row r="1388">
      <c r="A1388" s="60" t="s">
        <v>50</v>
      </c>
      <c r="B1388" s="60" t="s">
        <v>109</v>
      </c>
      <c r="C1388" s="57"/>
      <c r="D1388" s="57"/>
      <c r="E1388" s="57"/>
      <c r="F1388" s="57"/>
      <c r="G1388" s="57"/>
      <c r="H1388" s="57"/>
      <c r="I1388" s="57"/>
      <c r="J1388" s="57"/>
      <c r="K1388" s="63"/>
      <c r="L1388" s="57"/>
      <c r="M1388" s="57"/>
      <c r="N1388" s="57"/>
      <c r="O1388" s="57"/>
      <c r="P1388" s="57"/>
      <c r="Q1388" s="57"/>
    </row>
    <row r="1389">
      <c r="A1389" s="60" t="s">
        <v>438</v>
      </c>
      <c r="B1389" s="60" t="s">
        <v>472</v>
      </c>
      <c r="C1389" s="57"/>
      <c r="D1389" s="57"/>
      <c r="E1389" s="57"/>
      <c r="F1389" s="57"/>
      <c r="G1389" s="57"/>
      <c r="H1389" s="57"/>
      <c r="I1389" s="57"/>
      <c r="J1389" s="57"/>
      <c r="K1389" s="63"/>
      <c r="L1389" s="57"/>
      <c r="M1389" s="57"/>
      <c r="N1389" s="57"/>
      <c r="O1389" s="57"/>
      <c r="P1389" s="57"/>
      <c r="Q1389" s="57"/>
    </row>
    <row r="1390">
      <c r="A1390" s="60" t="s">
        <v>439</v>
      </c>
      <c r="B1390" s="60" t="s">
        <v>473</v>
      </c>
      <c r="C1390" s="57"/>
      <c r="D1390" s="57"/>
      <c r="E1390" s="57"/>
      <c r="F1390" s="57"/>
      <c r="G1390" s="57"/>
      <c r="H1390" s="57"/>
      <c r="I1390" s="57"/>
      <c r="J1390" s="57"/>
      <c r="K1390" s="63"/>
      <c r="L1390" s="57"/>
      <c r="M1390" s="57"/>
      <c r="N1390" s="57"/>
      <c r="O1390" s="57"/>
      <c r="P1390" s="57"/>
      <c r="Q1390" s="57"/>
    </row>
    <row r="1391">
      <c r="A1391" s="60" t="s">
        <v>441</v>
      </c>
      <c r="B1391" s="60">
        <v>18.0</v>
      </c>
      <c r="C1391" s="57"/>
      <c r="D1391" s="57"/>
      <c r="E1391" s="57"/>
      <c r="F1391" s="57"/>
      <c r="G1391" s="57"/>
      <c r="H1391" s="57"/>
      <c r="I1391" s="57"/>
      <c r="J1391" s="57"/>
      <c r="K1391" s="63"/>
      <c r="L1391" s="57"/>
      <c r="M1391" s="57"/>
      <c r="N1391" s="57"/>
      <c r="O1391" s="57"/>
      <c r="P1391" s="57"/>
      <c r="Q1391" s="57"/>
    </row>
    <row r="1392">
      <c r="A1392" s="60" t="s">
        <v>506</v>
      </c>
      <c r="B1392" s="60">
        <v>2.0</v>
      </c>
      <c r="C1392" s="57"/>
      <c r="D1392" s="57"/>
      <c r="E1392" s="57"/>
      <c r="F1392" s="57"/>
      <c r="G1392" s="57"/>
      <c r="H1392" s="57"/>
      <c r="I1392" s="57"/>
      <c r="J1392" s="57"/>
      <c r="K1392" s="63"/>
      <c r="L1392" s="57"/>
      <c r="M1392" s="57"/>
      <c r="N1392" s="57"/>
      <c r="O1392" s="57"/>
      <c r="P1392" s="57"/>
      <c r="Q1392" s="57"/>
    </row>
    <row r="1393">
      <c r="A1393" s="60" t="s">
        <v>508</v>
      </c>
      <c r="B1393" s="60" t="s">
        <v>407</v>
      </c>
      <c r="C1393" s="57"/>
      <c r="D1393" s="57"/>
      <c r="E1393" s="57"/>
      <c r="F1393" s="57"/>
      <c r="G1393" s="57"/>
      <c r="H1393" s="57"/>
      <c r="I1393" s="57"/>
      <c r="J1393" s="57"/>
      <c r="K1393" s="63"/>
      <c r="L1393" s="57"/>
      <c r="M1393" s="57"/>
      <c r="N1393" s="57"/>
      <c r="O1393" s="57"/>
      <c r="P1393" s="57"/>
      <c r="Q1393" s="57"/>
    </row>
    <row r="1394">
      <c r="A1394" s="60" t="s">
        <v>467</v>
      </c>
      <c r="B1394" s="60" t="s">
        <v>588</v>
      </c>
      <c r="C1394" s="57"/>
      <c r="D1394" s="57"/>
      <c r="E1394" s="57"/>
      <c r="F1394" s="57"/>
      <c r="G1394" s="57"/>
      <c r="H1394" s="57"/>
      <c r="I1394" s="57"/>
      <c r="J1394" s="57"/>
      <c r="K1394" s="63"/>
      <c r="L1394" s="57"/>
      <c r="M1394" s="57"/>
      <c r="N1394" s="57"/>
      <c r="O1394" s="57"/>
      <c r="P1394" s="57"/>
      <c r="Q1394" s="57"/>
    </row>
    <row r="1395">
      <c r="A1395" s="60" t="s">
        <v>777</v>
      </c>
      <c r="B1395" s="60" t="s">
        <v>436</v>
      </c>
      <c r="C1395" s="57"/>
      <c r="D1395" s="57"/>
      <c r="E1395" s="57"/>
      <c r="F1395" s="57"/>
      <c r="G1395" s="57"/>
      <c r="H1395" s="57"/>
      <c r="I1395" s="57"/>
      <c r="J1395" s="57"/>
      <c r="K1395" s="63"/>
      <c r="L1395" s="57"/>
      <c r="M1395" s="57"/>
      <c r="N1395" s="57"/>
      <c r="O1395" s="57"/>
      <c r="P1395" s="57"/>
      <c r="Q1395" s="57"/>
    </row>
    <row r="1396">
      <c r="A1396" s="60" t="s">
        <v>555</v>
      </c>
      <c r="B1396" s="60" t="s">
        <v>440</v>
      </c>
      <c r="C1396" s="57"/>
      <c r="D1396" s="57"/>
      <c r="E1396" s="57"/>
      <c r="F1396" s="57"/>
      <c r="G1396" s="57"/>
      <c r="H1396" s="57"/>
      <c r="I1396" s="57"/>
      <c r="J1396" s="57"/>
      <c r="K1396" s="63"/>
      <c r="L1396" s="57"/>
      <c r="M1396" s="57"/>
      <c r="N1396" s="57"/>
      <c r="O1396" s="57"/>
      <c r="P1396" s="57"/>
      <c r="Q1396" s="57"/>
    </row>
    <row r="1397">
      <c r="A1397" s="60" t="s">
        <v>556</v>
      </c>
      <c r="B1397" s="60" t="s">
        <v>457</v>
      </c>
      <c r="C1397" s="57"/>
      <c r="D1397" s="57"/>
      <c r="E1397" s="57"/>
      <c r="F1397" s="57"/>
      <c r="G1397" s="57"/>
      <c r="H1397" s="57"/>
      <c r="I1397" s="57"/>
      <c r="J1397" s="57"/>
      <c r="K1397" s="63"/>
      <c r="L1397" s="57"/>
      <c r="M1397" s="57"/>
      <c r="N1397" s="57"/>
      <c r="O1397" s="57"/>
      <c r="P1397" s="57"/>
      <c r="Q1397" s="57"/>
    </row>
    <row r="1398">
      <c r="A1398" s="60" t="s">
        <v>444</v>
      </c>
      <c r="B1398" s="60" t="s">
        <v>445</v>
      </c>
      <c r="C1398" s="57"/>
      <c r="D1398" s="57"/>
      <c r="E1398" s="57"/>
      <c r="F1398" s="57"/>
      <c r="G1398" s="57"/>
      <c r="H1398" s="57"/>
      <c r="I1398" s="57"/>
      <c r="J1398" s="57"/>
      <c r="K1398" s="63"/>
      <c r="L1398" s="57"/>
      <c r="M1398" s="57"/>
      <c r="N1398" s="57"/>
      <c r="O1398" s="57"/>
      <c r="P1398" s="57"/>
      <c r="Q1398" s="57"/>
    </row>
    <row r="1399">
      <c r="A1399" s="60" t="s">
        <v>446</v>
      </c>
      <c r="B1399" s="60" t="s">
        <v>445</v>
      </c>
      <c r="C1399" s="57"/>
      <c r="D1399" s="57"/>
      <c r="E1399" s="57"/>
      <c r="F1399" s="57"/>
      <c r="G1399" s="57"/>
      <c r="H1399" s="57"/>
      <c r="I1399" s="57"/>
      <c r="J1399" s="57"/>
      <c r="K1399" s="63"/>
      <c r="L1399" s="57"/>
      <c r="M1399" s="57"/>
      <c r="N1399" s="57"/>
      <c r="O1399" s="57"/>
      <c r="P1399" s="57"/>
      <c r="Q1399" s="57"/>
    </row>
    <row r="1400">
      <c r="A1400" s="60" t="s">
        <v>474</v>
      </c>
      <c r="B1400" s="60" t="s">
        <v>475</v>
      </c>
      <c r="C1400" s="57"/>
      <c r="D1400" s="57"/>
      <c r="E1400" s="57"/>
      <c r="F1400" s="57"/>
      <c r="G1400" s="57"/>
      <c r="H1400" s="57"/>
      <c r="I1400" s="57"/>
      <c r="J1400" s="57"/>
      <c r="K1400" s="63"/>
      <c r="L1400" s="57"/>
      <c r="M1400" s="57"/>
      <c r="N1400" s="57"/>
      <c r="O1400" s="57"/>
      <c r="P1400" s="57"/>
      <c r="Q1400" s="57"/>
    </row>
    <row r="1401">
      <c r="A1401" s="60" t="s">
        <v>476</v>
      </c>
      <c r="B1401" s="60" t="s">
        <v>450</v>
      </c>
      <c r="C1401" s="57"/>
      <c r="D1401" s="57"/>
      <c r="E1401" s="57"/>
      <c r="F1401" s="57"/>
      <c r="G1401" s="57"/>
      <c r="H1401" s="57"/>
      <c r="I1401" s="57"/>
      <c r="J1401" s="57"/>
      <c r="K1401" s="63"/>
      <c r="L1401" s="57"/>
      <c r="M1401" s="57"/>
      <c r="N1401" s="57"/>
      <c r="O1401" s="57"/>
      <c r="P1401" s="57"/>
      <c r="Q1401" s="57"/>
    </row>
    <row r="1402">
      <c r="A1402" s="60" t="s">
        <v>477</v>
      </c>
      <c r="B1402" s="60" t="s">
        <v>478</v>
      </c>
      <c r="C1402" s="57"/>
      <c r="D1402" s="57"/>
      <c r="E1402" s="57"/>
      <c r="F1402" s="57"/>
      <c r="G1402" s="57"/>
      <c r="H1402" s="57"/>
      <c r="I1402" s="57"/>
      <c r="J1402" s="57"/>
      <c r="K1402" s="63"/>
      <c r="L1402" s="57"/>
      <c r="M1402" s="57"/>
      <c r="N1402" s="57"/>
      <c r="O1402" s="57"/>
      <c r="P1402" s="57"/>
      <c r="Q1402" s="57"/>
    </row>
    <row r="1403">
      <c r="A1403" s="60" t="s">
        <v>479</v>
      </c>
      <c r="B1403" s="60" t="s">
        <v>478</v>
      </c>
      <c r="C1403" s="57"/>
      <c r="D1403" s="57"/>
      <c r="E1403" s="57"/>
      <c r="F1403" s="57"/>
      <c r="G1403" s="57"/>
      <c r="H1403" s="57"/>
      <c r="I1403" s="57"/>
      <c r="J1403" s="57"/>
      <c r="K1403" s="63"/>
      <c r="L1403" s="57"/>
      <c r="M1403" s="57"/>
      <c r="N1403" s="57"/>
      <c r="O1403" s="57"/>
      <c r="P1403" s="57"/>
      <c r="Q1403" s="57"/>
    </row>
    <row r="1404">
      <c r="A1404" s="60" t="s">
        <v>778</v>
      </c>
      <c r="B1404" s="60" t="s">
        <v>429</v>
      </c>
      <c r="C1404" s="57"/>
      <c r="D1404" s="57"/>
      <c r="E1404" s="57"/>
      <c r="F1404" s="57"/>
      <c r="G1404" s="57"/>
      <c r="H1404" s="57"/>
      <c r="I1404" s="57"/>
      <c r="J1404" s="57"/>
      <c r="K1404" s="63"/>
      <c r="L1404" s="57"/>
      <c r="M1404" s="57"/>
      <c r="N1404" s="57"/>
      <c r="O1404" s="57"/>
      <c r="P1404" s="57"/>
      <c r="Q1404" s="57"/>
    </row>
    <row r="1405">
      <c r="A1405" s="60" t="s">
        <v>779</v>
      </c>
      <c r="B1405" s="60" t="s">
        <v>463</v>
      </c>
      <c r="C1405" s="57"/>
      <c r="D1405" s="57"/>
      <c r="E1405" s="57"/>
      <c r="F1405" s="57"/>
      <c r="G1405" s="57"/>
      <c r="H1405" s="57"/>
      <c r="I1405" s="57"/>
      <c r="J1405" s="57"/>
      <c r="K1405" s="63"/>
      <c r="L1405" s="57"/>
      <c r="M1405" s="57"/>
      <c r="N1405" s="57"/>
      <c r="O1405" s="57"/>
      <c r="P1405" s="57"/>
      <c r="Q1405" s="57"/>
    </row>
    <row r="1406">
      <c r="A1406" s="60" t="s">
        <v>780</v>
      </c>
      <c r="B1406" s="60" t="s">
        <v>452</v>
      </c>
      <c r="C1406" s="57"/>
      <c r="D1406" s="57"/>
      <c r="E1406" s="57"/>
      <c r="F1406" s="57"/>
      <c r="G1406" s="57"/>
      <c r="H1406" s="57"/>
      <c r="I1406" s="57"/>
      <c r="J1406" s="57"/>
      <c r="K1406" s="63"/>
      <c r="L1406" s="57"/>
      <c r="M1406" s="57"/>
      <c r="N1406" s="57"/>
      <c r="O1406" s="57"/>
      <c r="P1406" s="57"/>
      <c r="Q1406" s="57"/>
    </row>
    <row r="1407">
      <c r="A1407" s="60" t="s">
        <v>781</v>
      </c>
      <c r="B1407" s="60" t="s">
        <v>496</v>
      </c>
      <c r="C1407" s="57"/>
      <c r="D1407" s="57"/>
      <c r="E1407" s="57"/>
      <c r="F1407" s="57"/>
      <c r="G1407" s="57"/>
      <c r="H1407" s="57"/>
      <c r="I1407" s="57"/>
      <c r="J1407" s="57"/>
      <c r="K1407" s="63"/>
      <c r="L1407" s="57"/>
      <c r="M1407" s="57"/>
      <c r="N1407" s="57"/>
      <c r="O1407" s="57"/>
      <c r="P1407" s="57"/>
      <c r="Q1407" s="57"/>
    </row>
    <row r="1408">
      <c r="A1408" s="60" t="s">
        <v>782</v>
      </c>
      <c r="B1408" s="60" t="s">
        <v>436</v>
      </c>
      <c r="C1408" s="57"/>
      <c r="D1408" s="57"/>
      <c r="E1408" s="57"/>
      <c r="F1408" s="57"/>
      <c r="G1408" s="57"/>
      <c r="H1408" s="57"/>
      <c r="I1408" s="57"/>
      <c r="J1408" s="57"/>
      <c r="K1408" s="63"/>
      <c r="L1408" s="57"/>
      <c r="M1408" s="57"/>
      <c r="N1408" s="57"/>
      <c r="O1408" s="57"/>
      <c r="P1408" s="57"/>
      <c r="Q1408" s="57"/>
    </row>
    <row r="1409">
      <c r="A1409" s="60" t="s">
        <v>783</v>
      </c>
      <c r="B1409" s="60" t="s">
        <v>501</v>
      </c>
      <c r="C1409" s="57"/>
      <c r="D1409" s="57"/>
      <c r="E1409" s="57"/>
      <c r="F1409" s="57"/>
      <c r="G1409" s="57"/>
      <c r="H1409" s="57"/>
      <c r="I1409" s="57"/>
      <c r="J1409" s="57"/>
      <c r="K1409" s="63"/>
      <c r="L1409" s="57"/>
      <c r="M1409" s="57"/>
      <c r="N1409" s="57"/>
      <c r="O1409" s="57"/>
      <c r="P1409" s="57"/>
      <c r="Q1409" s="57"/>
    </row>
    <row r="1410">
      <c r="A1410" s="60" t="s">
        <v>784</v>
      </c>
      <c r="B1410" s="60" t="s">
        <v>429</v>
      </c>
      <c r="C1410" s="57"/>
      <c r="D1410" s="57"/>
      <c r="E1410" s="57"/>
      <c r="F1410" s="57"/>
      <c r="G1410" s="57"/>
      <c r="H1410" s="57"/>
      <c r="I1410" s="57"/>
      <c r="J1410" s="57"/>
      <c r="K1410" s="63"/>
      <c r="L1410" s="57"/>
      <c r="M1410" s="57"/>
      <c r="N1410" s="57"/>
      <c r="O1410" s="57"/>
      <c r="P1410" s="57"/>
      <c r="Q1410" s="57"/>
    </row>
    <row r="1411">
      <c r="A1411" s="60" t="s">
        <v>785</v>
      </c>
      <c r="B1411" s="60" t="s">
        <v>425</v>
      </c>
      <c r="C1411" s="57"/>
      <c r="D1411" s="57"/>
      <c r="E1411" s="57"/>
      <c r="F1411" s="57"/>
      <c r="G1411" s="57"/>
      <c r="H1411" s="57"/>
      <c r="I1411" s="57"/>
      <c r="J1411" s="57"/>
      <c r="K1411" s="63"/>
      <c r="L1411" s="57"/>
      <c r="M1411" s="57"/>
      <c r="N1411" s="57"/>
      <c r="O1411" s="57"/>
      <c r="P1411" s="57"/>
      <c r="Q1411" s="57"/>
    </row>
    <row r="1412">
      <c r="A1412" s="60" t="s">
        <v>786</v>
      </c>
      <c r="B1412" s="60">
        <v>1.0</v>
      </c>
      <c r="C1412" s="57"/>
      <c r="D1412" s="57"/>
      <c r="E1412" s="57"/>
      <c r="F1412" s="57"/>
      <c r="G1412" s="57"/>
      <c r="H1412" s="57"/>
      <c r="I1412" s="57"/>
      <c r="J1412" s="57"/>
      <c r="K1412" s="63"/>
      <c r="L1412" s="57"/>
      <c r="M1412" s="57"/>
      <c r="N1412" s="57"/>
      <c r="O1412" s="57"/>
      <c r="P1412" s="57"/>
      <c r="Q1412" s="57"/>
    </row>
    <row r="1413">
      <c r="A1413" s="60" t="s">
        <v>787</v>
      </c>
      <c r="B1413" s="60" t="s">
        <v>424</v>
      </c>
      <c r="C1413" s="57"/>
      <c r="D1413" s="57"/>
      <c r="E1413" s="57"/>
      <c r="F1413" s="57"/>
      <c r="G1413" s="57"/>
      <c r="H1413" s="57"/>
      <c r="I1413" s="57"/>
      <c r="J1413" s="57"/>
      <c r="K1413" s="63"/>
      <c r="L1413" s="57"/>
      <c r="M1413" s="57"/>
      <c r="N1413" s="57"/>
      <c r="O1413" s="57"/>
      <c r="P1413" s="57"/>
      <c r="Q1413" s="57"/>
    </row>
    <row r="1414">
      <c r="A1414" s="60" t="s">
        <v>788</v>
      </c>
      <c r="B1414" s="60" t="s">
        <v>509</v>
      </c>
      <c r="C1414" s="57"/>
      <c r="D1414" s="57"/>
      <c r="E1414" s="57"/>
      <c r="F1414" s="57"/>
      <c r="G1414" s="57"/>
      <c r="H1414" s="57"/>
      <c r="I1414" s="57"/>
      <c r="J1414" s="57"/>
      <c r="K1414" s="63"/>
      <c r="L1414" s="57"/>
      <c r="M1414" s="57"/>
      <c r="N1414" s="57"/>
      <c r="O1414" s="57"/>
      <c r="P1414" s="57"/>
      <c r="Q1414" s="57"/>
    </row>
    <row r="1415">
      <c r="A1415" s="60" t="s">
        <v>789</v>
      </c>
      <c r="B1415" s="60" t="s">
        <v>790</v>
      </c>
      <c r="C1415" s="57"/>
      <c r="D1415" s="57"/>
      <c r="E1415" s="57"/>
      <c r="F1415" s="57"/>
      <c r="G1415" s="57"/>
      <c r="H1415" s="57"/>
      <c r="I1415" s="57"/>
      <c r="J1415" s="57"/>
      <c r="K1415" s="63"/>
      <c r="L1415" s="57"/>
      <c r="M1415" s="57"/>
      <c r="N1415" s="57"/>
      <c r="O1415" s="57"/>
      <c r="P1415" s="57"/>
      <c r="Q1415" s="57"/>
    </row>
    <row r="1416">
      <c r="A1416" s="60" t="s">
        <v>791</v>
      </c>
      <c r="B1416" s="60" t="s">
        <v>653</v>
      </c>
      <c r="C1416" s="57"/>
      <c r="D1416" s="57"/>
      <c r="E1416" s="57"/>
      <c r="F1416" s="57"/>
      <c r="G1416" s="57"/>
      <c r="H1416" s="57"/>
      <c r="I1416" s="57"/>
      <c r="J1416" s="57"/>
      <c r="K1416" s="63"/>
      <c r="L1416" s="57"/>
      <c r="M1416" s="57"/>
      <c r="N1416" s="57"/>
      <c r="O1416" s="57"/>
      <c r="P1416" s="57"/>
      <c r="Q1416" s="57"/>
    </row>
    <row r="1417">
      <c r="A1417" s="60" t="s">
        <v>792</v>
      </c>
      <c r="B1417" s="60" t="s">
        <v>457</v>
      </c>
      <c r="C1417" s="57"/>
      <c r="D1417" s="57"/>
      <c r="E1417" s="57"/>
      <c r="F1417" s="57"/>
      <c r="G1417" s="57"/>
      <c r="H1417" s="57"/>
      <c r="I1417" s="57"/>
      <c r="J1417" s="57"/>
      <c r="K1417" s="63"/>
      <c r="L1417" s="57"/>
      <c r="M1417" s="57"/>
      <c r="N1417" s="57"/>
      <c r="O1417" s="57"/>
      <c r="P1417" s="57"/>
      <c r="Q1417" s="57"/>
    </row>
    <row r="1418">
      <c r="A1418" s="60" t="s">
        <v>793</v>
      </c>
      <c r="B1418" s="60" t="s">
        <v>502</v>
      </c>
      <c r="C1418" s="57"/>
      <c r="D1418" s="57"/>
      <c r="E1418" s="57"/>
      <c r="F1418" s="57"/>
      <c r="G1418" s="57"/>
      <c r="H1418" s="57"/>
      <c r="I1418" s="57"/>
      <c r="J1418" s="57"/>
      <c r="K1418" s="63"/>
      <c r="L1418" s="57"/>
      <c r="M1418" s="57"/>
      <c r="N1418" s="57"/>
      <c r="O1418" s="57"/>
      <c r="P1418" s="57"/>
      <c r="Q1418" s="57"/>
    </row>
    <row r="1419">
      <c r="A1419" s="60" t="s">
        <v>794</v>
      </c>
      <c r="B1419" s="60" t="s">
        <v>448</v>
      </c>
      <c r="C1419" s="57"/>
      <c r="D1419" s="57"/>
      <c r="E1419" s="57"/>
      <c r="F1419" s="57"/>
      <c r="G1419" s="57"/>
      <c r="H1419" s="57"/>
      <c r="I1419" s="57"/>
      <c r="J1419" s="57"/>
      <c r="K1419" s="63"/>
      <c r="L1419" s="57"/>
      <c r="M1419" s="57"/>
      <c r="N1419" s="57"/>
      <c r="O1419" s="57"/>
      <c r="P1419" s="57"/>
      <c r="Q1419" s="57"/>
    </row>
    <row r="1420">
      <c r="A1420" s="83" t="s">
        <v>399</v>
      </c>
      <c r="B1420" s="60" t="s">
        <v>459</v>
      </c>
      <c r="C1420" s="57"/>
      <c r="D1420" s="57"/>
      <c r="E1420" s="57"/>
      <c r="F1420" s="57"/>
      <c r="G1420" s="57"/>
      <c r="H1420" s="57"/>
      <c r="I1420" s="57"/>
      <c r="J1420" s="57"/>
      <c r="K1420" s="63"/>
      <c r="L1420" s="57"/>
      <c r="M1420" s="57"/>
      <c r="N1420" s="57"/>
      <c r="O1420" s="57"/>
      <c r="P1420" s="57"/>
      <c r="Q1420" s="57"/>
    </row>
    <row r="1421">
      <c r="A1421" s="60" t="s">
        <v>38</v>
      </c>
      <c r="B1421" s="60"/>
      <c r="C1421" s="65"/>
      <c r="D1421" s="57"/>
      <c r="E1421" s="57"/>
      <c r="F1421" s="57"/>
      <c r="G1421" s="57"/>
      <c r="H1421" s="57"/>
      <c r="I1421" s="57"/>
      <c r="J1421" s="57"/>
      <c r="K1421" s="66">
        <v>560.0</v>
      </c>
      <c r="L1421" s="57">
        <f t="shared" ref="L1421:L1424" si="583">ROUNDDOWN(K1421*1.1,0)</f>
        <v>616</v>
      </c>
      <c r="M1421" s="57">
        <f t="shared" ref="M1421:M1424" si="584">ROUNDDOWN(K1421*1.21,0)</f>
        <v>677</v>
      </c>
      <c r="N1421" s="57">
        <f t="shared" ref="N1421:N1424" si="585">ROUNDDOWN(K1421*1.33,0)</f>
        <v>744</v>
      </c>
      <c r="O1421" s="57">
        <f t="shared" ref="O1421:O1424" si="586">ROUNDDOWN(K1421*1.46,0)</f>
        <v>817</v>
      </c>
      <c r="P1421" s="57">
        <f t="shared" ref="P1421:P1424" si="587">ROUNDDOWN(K1421*1.57,0)</f>
        <v>879</v>
      </c>
      <c r="Q1421" s="57"/>
    </row>
    <row r="1422">
      <c r="A1422" s="60" t="s">
        <v>24</v>
      </c>
      <c r="B1422" s="60"/>
      <c r="C1422" s="57"/>
      <c r="D1422" s="57"/>
      <c r="E1422" s="57"/>
      <c r="F1422" s="57"/>
      <c r="G1422" s="57"/>
      <c r="H1422" s="57"/>
      <c r="I1422" s="57"/>
      <c r="J1422" s="57"/>
      <c r="K1422" s="66">
        <v>110.0</v>
      </c>
      <c r="L1422" s="57">
        <f t="shared" si="583"/>
        <v>121</v>
      </c>
      <c r="M1422" s="57">
        <f t="shared" si="584"/>
        <v>133</v>
      </c>
      <c r="N1422" s="57">
        <f t="shared" si="585"/>
        <v>146</v>
      </c>
      <c r="O1422" s="57">
        <f t="shared" si="586"/>
        <v>160</v>
      </c>
      <c r="P1422" s="57">
        <f t="shared" si="587"/>
        <v>172</v>
      </c>
      <c r="Q1422" s="57"/>
    </row>
    <row r="1423">
      <c r="A1423" s="60" t="s">
        <v>795</v>
      </c>
      <c r="B1423" s="60"/>
      <c r="C1423" s="57"/>
      <c r="D1423" s="57"/>
      <c r="E1423" s="57"/>
      <c r="F1423" s="57"/>
      <c r="G1423" s="57"/>
      <c r="H1423" s="57"/>
      <c r="I1423" s="57"/>
      <c r="J1423" s="57"/>
      <c r="K1423" s="66">
        <v>520.0</v>
      </c>
      <c r="L1423" s="57">
        <f t="shared" si="583"/>
        <v>572</v>
      </c>
      <c r="M1423" s="57">
        <f t="shared" si="584"/>
        <v>629</v>
      </c>
      <c r="N1423" s="57">
        <f t="shared" si="585"/>
        <v>691</v>
      </c>
      <c r="O1423" s="57">
        <f t="shared" si="586"/>
        <v>759</v>
      </c>
      <c r="P1423" s="57">
        <f t="shared" si="587"/>
        <v>816</v>
      </c>
      <c r="Q1423" s="57"/>
    </row>
    <row r="1424">
      <c r="A1424" s="60" t="s">
        <v>796</v>
      </c>
      <c r="B1424" s="60"/>
      <c r="C1424" s="57"/>
      <c r="D1424" s="57"/>
      <c r="E1424" s="57"/>
      <c r="F1424" s="57"/>
      <c r="G1424" s="57"/>
      <c r="H1424" s="57"/>
      <c r="I1424" s="57"/>
      <c r="J1424" s="57"/>
      <c r="K1424" s="66">
        <v>44.0</v>
      </c>
      <c r="L1424" s="57">
        <f t="shared" si="583"/>
        <v>48</v>
      </c>
      <c r="M1424" s="57">
        <f t="shared" si="584"/>
        <v>53</v>
      </c>
      <c r="N1424" s="57">
        <f t="shared" si="585"/>
        <v>58</v>
      </c>
      <c r="O1424" s="57">
        <f t="shared" si="586"/>
        <v>64</v>
      </c>
      <c r="P1424" s="57">
        <f t="shared" si="587"/>
        <v>69</v>
      </c>
      <c r="Q1424" s="57"/>
    </row>
    <row r="1425">
      <c r="A1425" s="60" t="s">
        <v>428</v>
      </c>
      <c r="B1425" s="60" t="s">
        <v>429</v>
      </c>
      <c r="C1425" s="57"/>
      <c r="D1425" s="57"/>
      <c r="E1425" s="57"/>
      <c r="F1425" s="57"/>
      <c r="G1425" s="57"/>
      <c r="H1425" s="57"/>
      <c r="I1425" s="57"/>
      <c r="J1425" s="57"/>
      <c r="K1425" s="63"/>
      <c r="L1425" s="57"/>
      <c r="M1425" s="57"/>
      <c r="N1425" s="57"/>
      <c r="O1425" s="57"/>
      <c r="P1425" s="57"/>
      <c r="Q1425" s="57"/>
    </row>
    <row r="1426">
      <c r="A1426" s="60" t="s">
        <v>55</v>
      </c>
      <c r="B1426" s="60" t="s">
        <v>430</v>
      </c>
      <c r="C1426" s="57"/>
      <c r="D1426" s="57"/>
      <c r="E1426" s="57"/>
      <c r="F1426" s="57"/>
      <c r="G1426" s="57"/>
      <c r="H1426" s="57"/>
      <c r="I1426" s="57"/>
      <c r="J1426" s="57"/>
      <c r="K1426" s="63"/>
      <c r="L1426" s="57"/>
      <c r="M1426" s="57"/>
      <c r="N1426" s="57"/>
      <c r="O1426" s="57"/>
      <c r="P1426" s="57"/>
      <c r="Q1426" s="57"/>
    </row>
    <row r="1427">
      <c r="A1427" s="60" t="s">
        <v>51</v>
      </c>
      <c r="B1427" s="60" t="s">
        <v>451</v>
      </c>
      <c r="C1427" s="57"/>
      <c r="D1427" s="57"/>
      <c r="E1427" s="57"/>
      <c r="F1427" s="57"/>
      <c r="G1427" s="57"/>
      <c r="H1427" s="57"/>
      <c r="I1427" s="57"/>
      <c r="J1427" s="57"/>
      <c r="K1427" s="63"/>
      <c r="L1427" s="57"/>
      <c r="M1427" s="57"/>
      <c r="N1427" s="57"/>
      <c r="O1427" s="57"/>
      <c r="P1427" s="57"/>
      <c r="Q1427" s="57"/>
    </row>
    <row r="1428">
      <c r="A1428" s="60" t="s">
        <v>49</v>
      </c>
      <c r="B1428" s="60" t="s">
        <v>453</v>
      </c>
      <c r="C1428" s="57"/>
      <c r="D1428" s="57"/>
      <c r="E1428" s="57"/>
      <c r="F1428" s="57"/>
      <c r="G1428" s="57"/>
      <c r="H1428" s="57"/>
      <c r="I1428" s="57"/>
      <c r="J1428" s="57"/>
      <c r="K1428" s="63"/>
      <c r="L1428" s="57"/>
      <c r="M1428" s="57"/>
      <c r="N1428" s="57"/>
      <c r="O1428" s="57"/>
      <c r="P1428" s="57"/>
      <c r="Q1428" s="57"/>
    </row>
    <row r="1429">
      <c r="A1429" s="60" t="s">
        <v>432</v>
      </c>
      <c r="B1429" s="60" t="s">
        <v>457</v>
      </c>
      <c r="C1429" s="57"/>
      <c r="D1429" s="57"/>
      <c r="E1429" s="57"/>
      <c r="F1429" s="57"/>
      <c r="G1429" s="57"/>
      <c r="H1429" s="57"/>
      <c r="I1429" s="57"/>
      <c r="J1429" s="57"/>
      <c r="K1429" s="63"/>
      <c r="L1429" s="57"/>
      <c r="M1429" s="57"/>
      <c r="N1429" s="57"/>
      <c r="O1429" s="57"/>
      <c r="P1429" s="57"/>
      <c r="Q1429" s="57"/>
    </row>
    <row r="1430">
      <c r="A1430" s="60" t="s">
        <v>422</v>
      </c>
      <c r="B1430" s="60" t="s">
        <v>454</v>
      </c>
      <c r="C1430" s="57"/>
      <c r="D1430" s="57"/>
      <c r="E1430" s="57"/>
      <c r="F1430" s="57"/>
      <c r="G1430" s="57"/>
      <c r="H1430" s="57"/>
      <c r="I1430" s="57"/>
      <c r="J1430" s="57"/>
      <c r="K1430" s="63"/>
      <c r="L1430" s="57"/>
      <c r="M1430" s="57"/>
      <c r="N1430" s="57"/>
      <c r="O1430" s="57"/>
      <c r="P1430" s="57"/>
      <c r="Q1430" s="57"/>
    </row>
    <row r="1431">
      <c r="A1431" s="60" t="s">
        <v>435</v>
      </c>
      <c r="B1431" s="60" t="s">
        <v>436</v>
      </c>
      <c r="C1431" s="57"/>
      <c r="D1431" s="57"/>
      <c r="E1431" s="57"/>
      <c r="F1431" s="57"/>
      <c r="G1431" s="57"/>
      <c r="H1431" s="57"/>
      <c r="I1431" s="57"/>
      <c r="J1431" s="57"/>
      <c r="K1431" s="63"/>
      <c r="L1431" s="57"/>
      <c r="M1431" s="57"/>
      <c r="N1431" s="57"/>
      <c r="O1431" s="57"/>
      <c r="P1431" s="57"/>
      <c r="Q1431" s="57"/>
    </row>
    <row r="1432">
      <c r="A1432" s="60" t="s">
        <v>426</v>
      </c>
      <c r="B1432" s="60" t="s">
        <v>797</v>
      </c>
      <c r="C1432" s="57"/>
      <c r="D1432" s="57"/>
      <c r="E1432" s="57"/>
      <c r="F1432" s="57"/>
      <c r="G1432" s="57"/>
      <c r="H1432" s="57"/>
      <c r="I1432" s="57"/>
      <c r="J1432" s="57"/>
      <c r="K1432" s="63"/>
      <c r="L1432" s="57"/>
      <c r="M1432" s="57"/>
      <c r="N1432" s="57"/>
      <c r="O1432" s="57"/>
      <c r="P1432" s="57"/>
      <c r="Q1432" s="57"/>
    </row>
    <row r="1433">
      <c r="A1433" s="60" t="s">
        <v>798</v>
      </c>
      <c r="B1433" s="60" t="s">
        <v>655</v>
      </c>
      <c r="C1433" s="57"/>
      <c r="D1433" s="57"/>
      <c r="E1433" s="57"/>
      <c r="F1433" s="57"/>
      <c r="G1433" s="57"/>
      <c r="H1433" s="57"/>
      <c r="I1433" s="57"/>
      <c r="J1433" s="57"/>
      <c r="K1433" s="63"/>
      <c r="L1433" s="57"/>
      <c r="M1433" s="57"/>
      <c r="N1433" s="57"/>
      <c r="O1433" s="57"/>
      <c r="P1433" s="57"/>
      <c r="Q1433" s="57"/>
    </row>
    <row r="1434">
      <c r="A1434" s="60" t="s">
        <v>799</v>
      </c>
      <c r="B1434" s="60" t="s">
        <v>400</v>
      </c>
      <c r="C1434" s="57"/>
      <c r="D1434" s="57"/>
      <c r="E1434" s="57"/>
      <c r="F1434" s="57"/>
      <c r="G1434" s="57"/>
      <c r="H1434" s="57"/>
      <c r="I1434" s="57"/>
      <c r="J1434" s="57"/>
      <c r="K1434" s="63"/>
      <c r="L1434" s="57"/>
      <c r="M1434" s="57"/>
      <c r="N1434" s="57"/>
      <c r="O1434" s="57"/>
      <c r="P1434" s="57"/>
      <c r="Q1434" s="57"/>
    </row>
    <row r="1435">
      <c r="A1435" s="60" t="s">
        <v>800</v>
      </c>
      <c r="B1435" s="60">
        <v>1.0</v>
      </c>
      <c r="C1435" s="57"/>
      <c r="D1435" s="57"/>
      <c r="E1435" s="57"/>
      <c r="F1435" s="57"/>
      <c r="G1435" s="57"/>
      <c r="H1435" s="57"/>
      <c r="I1435" s="57"/>
      <c r="J1435" s="57"/>
      <c r="K1435" s="63"/>
      <c r="L1435" s="57"/>
      <c r="M1435" s="57"/>
      <c r="N1435" s="57"/>
      <c r="O1435" s="57"/>
      <c r="P1435" s="57"/>
      <c r="Q1435" s="57"/>
    </row>
    <row r="1436">
      <c r="A1436" s="60" t="s">
        <v>801</v>
      </c>
      <c r="B1436" s="60" t="s">
        <v>802</v>
      </c>
      <c r="C1436" s="57"/>
      <c r="D1436" s="57"/>
      <c r="E1436" s="57"/>
      <c r="F1436" s="57"/>
      <c r="G1436" s="57"/>
      <c r="H1436" s="57"/>
      <c r="I1436" s="57"/>
      <c r="J1436" s="57"/>
      <c r="K1436" s="63"/>
      <c r="L1436" s="57"/>
      <c r="M1436" s="57"/>
      <c r="N1436" s="57"/>
      <c r="O1436" s="57"/>
      <c r="P1436" s="57"/>
      <c r="Q1436" s="57"/>
    </row>
    <row r="1437">
      <c r="A1437" s="60" t="s">
        <v>526</v>
      </c>
      <c r="B1437" s="60" t="s">
        <v>505</v>
      </c>
      <c r="C1437" s="57"/>
      <c r="D1437" s="57"/>
      <c r="E1437" s="57"/>
      <c r="F1437" s="57"/>
      <c r="G1437" s="57"/>
      <c r="H1437" s="57"/>
      <c r="I1437" s="57"/>
      <c r="J1437" s="57"/>
      <c r="K1437" s="63"/>
      <c r="L1437" s="57"/>
      <c r="M1437" s="57"/>
      <c r="N1437" s="57"/>
      <c r="O1437" s="57"/>
      <c r="P1437" s="57"/>
      <c r="Q1437" s="57"/>
    </row>
    <row r="1438">
      <c r="A1438" s="60" t="s">
        <v>53</v>
      </c>
      <c r="B1438" s="60" t="s">
        <v>429</v>
      </c>
      <c r="C1438" s="57"/>
      <c r="D1438" s="57"/>
      <c r="E1438" s="57"/>
      <c r="F1438" s="57"/>
      <c r="G1438" s="57"/>
      <c r="H1438" s="57"/>
      <c r="I1438" s="57"/>
      <c r="J1438" s="57"/>
      <c r="K1438" s="63"/>
      <c r="L1438" s="57"/>
      <c r="M1438" s="57"/>
      <c r="N1438" s="57"/>
      <c r="O1438" s="57"/>
      <c r="P1438" s="57"/>
      <c r="Q1438" s="57"/>
    </row>
    <row r="1439">
      <c r="A1439" s="60" t="s">
        <v>50</v>
      </c>
      <c r="B1439" s="60" t="s">
        <v>425</v>
      </c>
      <c r="C1439" s="57"/>
      <c r="D1439" s="57"/>
      <c r="E1439" s="57"/>
      <c r="F1439" s="57"/>
      <c r="G1439" s="57"/>
      <c r="H1439" s="57"/>
      <c r="I1439" s="57"/>
      <c r="J1439" s="57"/>
      <c r="K1439" s="63"/>
      <c r="L1439" s="57"/>
      <c r="M1439" s="57"/>
      <c r="N1439" s="57"/>
      <c r="O1439" s="57"/>
      <c r="P1439" s="57"/>
      <c r="Q1439" s="57"/>
    </row>
    <row r="1440">
      <c r="A1440" s="60" t="s">
        <v>438</v>
      </c>
      <c r="B1440" s="60" t="s">
        <v>436</v>
      </c>
      <c r="C1440" s="57"/>
      <c r="D1440" s="57"/>
      <c r="E1440" s="57"/>
      <c r="F1440" s="57"/>
      <c r="G1440" s="57"/>
      <c r="H1440" s="57"/>
      <c r="I1440" s="57"/>
      <c r="J1440" s="57"/>
      <c r="K1440" s="63"/>
      <c r="L1440" s="57"/>
      <c r="M1440" s="57"/>
      <c r="N1440" s="57"/>
      <c r="O1440" s="57"/>
      <c r="P1440" s="57"/>
      <c r="Q1440" s="57"/>
    </row>
    <row r="1441">
      <c r="A1441" s="60" t="s">
        <v>439</v>
      </c>
      <c r="B1441" s="60" t="s">
        <v>440</v>
      </c>
      <c r="C1441" s="57"/>
      <c r="D1441" s="57"/>
      <c r="E1441" s="57"/>
      <c r="F1441" s="57"/>
      <c r="G1441" s="57"/>
      <c r="H1441" s="57"/>
      <c r="I1441" s="57"/>
      <c r="J1441" s="57"/>
      <c r="K1441" s="63"/>
      <c r="L1441" s="57"/>
      <c r="M1441" s="57"/>
      <c r="N1441" s="57"/>
      <c r="O1441" s="57"/>
      <c r="P1441" s="57"/>
      <c r="Q1441" s="57"/>
    </row>
    <row r="1442">
      <c r="A1442" s="60" t="s">
        <v>441</v>
      </c>
      <c r="B1442" s="60">
        <v>6.0</v>
      </c>
      <c r="C1442" s="57"/>
      <c r="D1442" s="57"/>
      <c r="E1442" s="57"/>
      <c r="F1442" s="57"/>
      <c r="G1442" s="57"/>
      <c r="H1442" s="57"/>
      <c r="I1442" s="57"/>
      <c r="J1442" s="57"/>
      <c r="K1442" s="63"/>
      <c r="L1442" s="57"/>
      <c r="M1442" s="57"/>
      <c r="N1442" s="57"/>
      <c r="O1442" s="57"/>
      <c r="P1442" s="57"/>
      <c r="Q1442" s="57"/>
    </row>
    <row r="1443">
      <c r="A1443" s="60" t="s">
        <v>444</v>
      </c>
      <c r="B1443" s="60" t="s">
        <v>437</v>
      </c>
      <c r="C1443" s="57"/>
      <c r="D1443" s="57"/>
      <c r="E1443" s="57"/>
      <c r="F1443" s="57"/>
      <c r="G1443" s="57"/>
      <c r="H1443" s="57"/>
      <c r="I1443" s="57"/>
      <c r="J1443" s="57"/>
      <c r="K1443" s="63"/>
      <c r="L1443" s="57"/>
      <c r="M1443" s="57"/>
      <c r="N1443" s="57"/>
      <c r="O1443" s="57"/>
      <c r="P1443" s="57"/>
      <c r="Q1443" s="57"/>
    </row>
    <row r="1444">
      <c r="A1444" s="60" t="s">
        <v>446</v>
      </c>
      <c r="B1444" s="60" t="s">
        <v>505</v>
      </c>
      <c r="C1444" s="57"/>
      <c r="D1444" s="57"/>
      <c r="E1444" s="57"/>
      <c r="F1444" s="57"/>
      <c r="G1444" s="57"/>
      <c r="H1444" s="57"/>
      <c r="I1444" s="57"/>
      <c r="J1444" s="57"/>
      <c r="K1444" s="63"/>
      <c r="L1444" s="57"/>
      <c r="M1444" s="57"/>
      <c r="N1444" s="57"/>
      <c r="O1444" s="57"/>
      <c r="P1444" s="57"/>
      <c r="Q1444" s="57"/>
    </row>
    <row r="1445">
      <c r="A1445" s="60" t="s">
        <v>803</v>
      </c>
      <c r="B1445" s="60" t="s">
        <v>512</v>
      </c>
      <c r="C1445" s="57"/>
      <c r="D1445" s="57"/>
      <c r="E1445" s="57"/>
      <c r="F1445" s="57"/>
      <c r="G1445" s="57"/>
      <c r="H1445" s="57"/>
      <c r="I1445" s="57"/>
      <c r="J1445" s="57"/>
      <c r="K1445" s="63"/>
      <c r="L1445" s="57"/>
      <c r="M1445" s="57"/>
      <c r="N1445" s="57"/>
      <c r="O1445" s="57"/>
      <c r="P1445" s="57"/>
      <c r="Q1445" s="57"/>
    </row>
    <row r="1446">
      <c r="A1446" s="60" t="s">
        <v>804</v>
      </c>
      <c r="B1446" s="60" t="s">
        <v>421</v>
      </c>
      <c r="C1446" s="57"/>
      <c r="D1446" s="57"/>
      <c r="E1446" s="57"/>
      <c r="F1446" s="57"/>
      <c r="G1446" s="57"/>
      <c r="H1446" s="57"/>
      <c r="I1446" s="57"/>
      <c r="J1446" s="57"/>
      <c r="K1446" s="63"/>
      <c r="L1446" s="57"/>
      <c r="M1446" s="57"/>
      <c r="N1446" s="57"/>
      <c r="O1446" s="57"/>
      <c r="P1446" s="57"/>
      <c r="Q1446" s="57"/>
    </row>
    <row r="1447">
      <c r="A1447" s="60" t="s">
        <v>805</v>
      </c>
      <c r="B1447" s="60" t="s">
        <v>482</v>
      </c>
      <c r="C1447" s="57"/>
      <c r="D1447" s="57"/>
      <c r="E1447" s="57"/>
      <c r="F1447" s="57"/>
      <c r="G1447" s="57"/>
      <c r="H1447" s="57"/>
      <c r="I1447" s="57"/>
      <c r="J1447" s="57"/>
      <c r="K1447" s="63"/>
      <c r="L1447" s="57"/>
      <c r="M1447" s="57"/>
      <c r="N1447" s="57"/>
      <c r="O1447" s="57"/>
      <c r="P1447" s="57"/>
      <c r="Q1447" s="57"/>
    </row>
    <row r="1448">
      <c r="A1448" s="60" t="s">
        <v>806</v>
      </c>
      <c r="B1448" s="60" t="s">
        <v>452</v>
      </c>
      <c r="C1448" s="57"/>
      <c r="D1448" s="57"/>
      <c r="E1448" s="57"/>
      <c r="F1448" s="57"/>
      <c r="G1448" s="57"/>
      <c r="H1448" s="57"/>
      <c r="I1448" s="57"/>
      <c r="J1448" s="57"/>
      <c r="K1448" s="63"/>
      <c r="L1448" s="57"/>
      <c r="M1448" s="57"/>
      <c r="N1448" s="57"/>
      <c r="O1448" s="57"/>
      <c r="P1448" s="57"/>
      <c r="Q1448" s="57"/>
    </row>
    <row r="1449">
      <c r="A1449" s="60" t="s">
        <v>807</v>
      </c>
      <c r="B1449" s="60" t="s">
        <v>687</v>
      </c>
      <c r="C1449" s="57"/>
      <c r="D1449" s="57"/>
      <c r="E1449" s="57"/>
      <c r="F1449" s="57"/>
      <c r="G1449" s="57"/>
      <c r="H1449" s="57"/>
      <c r="I1449" s="57"/>
      <c r="J1449" s="57"/>
      <c r="K1449" s="63"/>
      <c r="L1449" s="57"/>
      <c r="M1449" s="57"/>
      <c r="N1449" s="57"/>
      <c r="O1449" s="57"/>
      <c r="P1449" s="57"/>
      <c r="Q1449" s="57"/>
    </row>
    <row r="1450">
      <c r="A1450" s="60" t="s">
        <v>808</v>
      </c>
      <c r="B1450" s="60" t="s">
        <v>473</v>
      </c>
      <c r="C1450" s="57"/>
      <c r="D1450" s="57"/>
      <c r="E1450" s="57"/>
      <c r="F1450" s="57"/>
      <c r="G1450" s="57"/>
      <c r="H1450" s="57"/>
      <c r="I1450" s="57"/>
      <c r="J1450" s="57"/>
      <c r="K1450" s="63"/>
      <c r="L1450" s="57"/>
      <c r="M1450" s="57"/>
      <c r="N1450" s="57"/>
      <c r="O1450" s="57"/>
      <c r="P1450" s="57"/>
      <c r="Q1450" s="57"/>
    </row>
    <row r="1451">
      <c r="A1451" s="60" t="s">
        <v>809</v>
      </c>
      <c r="B1451" s="60" t="s">
        <v>109</v>
      </c>
      <c r="C1451" s="57"/>
      <c r="D1451" s="57"/>
      <c r="E1451" s="57"/>
      <c r="F1451" s="57"/>
      <c r="G1451" s="57"/>
      <c r="H1451" s="57"/>
      <c r="I1451" s="57"/>
      <c r="J1451" s="57"/>
      <c r="K1451" s="63"/>
      <c r="L1451" s="57"/>
      <c r="M1451" s="57"/>
      <c r="N1451" s="57"/>
      <c r="O1451" s="57"/>
      <c r="P1451" s="57"/>
      <c r="Q1451" s="57"/>
    </row>
    <row r="1452">
      <c r="A1452" s="60" t="s">
        <v>810</v>
      </c>
      <c r="B1452" s="60" t="s">
        <v>502</v>
      </c>
      <c r="C1452" s="57"/>
      <c r="D1452" s="57"/>
      <c r="E1452" s="57"/>
      <c r="F1452" s="57"/>
      <c r="G1452" s="57"/>
      <c r="H1452" s="57"/>
      <c r="I1452" s="57"/>
      <c r="J1452" s="57"/>
      <c r="K1452" s="63"/>
      <c r="L1452" s="57"/>
      <c r="M1452" s="57"/>
      <c r="N1452" s="57"/>
      <c r="O1452" s="57"/>
      <c r="P1452" s="57"/>
      <c r="Q1452" s="57"/>
    </row>
    <row r="1453">
      <c r="A1453" s="60" t="s">
        <v>811</v>
      </c>
      <c r="B1453" s="60">
        <v>2.0</v>
      </c>
      <c r="C1453" s="57"/>
      <c r="D1453" s="57"/>
      <c r="E1453" s="57"/>
      <c r="F1453" s="57"/>
      <c r="G1453" s="57"/>
      <c r="H1453" s="57"/>
      <c r="I1453" s="57"/>
      <c r="J1453" s="57"/>
      <c r="K1453" s="63"/>
      <c r="L1453" s="57"/>
      <c r="M1453" s="57"/>
      <c r="N1453" s="57"/>
      <c r="O1453" s="57"/>
      <c r="P1453" s="57"/>
      <c r="Q1453" s="57"/>
    </row>
    <row r="1454">
      <c r="A1454" s="60" t="s">
        <v>812</v>
      </c>
      <c r="B1454" s="60" t="s">
        <v>424</v>
      </c>
      <c r="C1454" s="57"/>
      <c r="D1454" s="57"/>
      <c r="E1454" s="57"/>
      <c r="F1454" s="57"/>
      <c r="G1454" s="57"/>
      <c r="H1454" s="57"/>
      <c r="I1454" s="57"/>
      <c r="J1454" s="57"/>
      <c r="K1454" s="63"/>
      <c r="L1454" s="57"/>
      <c r="M1454" s="57"/>
      <c r="N1454" s="57"/>
      <c r="O1454" s="57"/>
      <c r="P1454" s="57"/>
      <c r="Q1454" s="57"/>
    </row>
    <row r="1455">
      <c r="A1455" s="60" t="s">
        <v>813</v>
      </c>
      <c r="B1455" s="60" t="s">
        <v>516</v>
      </c>
      <c r="C1455" s="57"/>
      <c r="D1455" s="57"/>
      <c r="E1455" s="57"/>
      <c r="F1455" s="57"/>
      <c r="G1455" s="57"/>
      <c r="H1455" s="57"/>
      <c r="I1455" s="57"/>
      <c r="J1455" s="57"/>
      <c r="K1455" s="63"/>
      <c r="L1455" s="57"/>
      <c r="M1455" s="57"/>
      <c r="N1455" s="57"/>
      <c r="O1455" s="57"/>
      <c r="P1455" s="57"/>
      <c r="Q1455" s="57"/>
    </row>
    <row r="1456">
      <c r="A1456" s="60" t="s">
        <v>814</v>
      </c>
      <c r="B1456" s="60" t="s">
        <v>445</v>
      </c>
      <c r="C1456" s="57"/>
      <c r="D1456" s="57"/>
      <c r="E1456" s="57"/>
      <c r="F1456" s="57"/>
      <c r="G1456" s="57"/>
      <c r="H1456" s="57"/>
      <c r="I1456" s="57"/>
      <c r="J1456" s="57"/>
      <c r="K1456" s="63"/>
      <c r="L1456" s="57"/>
      <c r="M1456" s="57"/>
      <c r="N1456" s="57"/>
      <c r="O1456" s="57"/>
      <c r="P1456" s="57"/>
      <c r="Q1456" s="57"/>
    </row>
    <row r="1457">
      <c r="A1457" s="60" t="s">
        <v>815</v>
      </c>
      <c r="B1457" s="60" t="s">
        <v>445</v>
      </c>
      <c r="C1457" s="57"/>
      <c r="D1457" s="57"/>
      <c r="E1457" s="57"/>
      <c r="F1457" s="57"/>
      <c r="G1457" s="57"/>
      <c r="H1457" s="57"/>
      <c r="I1457" s="57"/>
      <c r="J1457" s="57"/>
      <c r="K1457" s="63"/>
      <c r="L1457" s="57"/>
      <c r="M1457" s="57"/>
      <c r="N1457" s="57"/>
      <c r="O1457" s="57"/>
      <c r="P1457" s="57"/>
      <c r="Q1457" s="57"/>
    </row>
    <row r="1458">
      <c r="A1458" s="60" t="s">
        <v>816</v>
      </c>
      <c r="B1458" s="60" t="s">
        <v>448</v>
      </c>
      <c r="C1458" s="57"/>
      <c r="D1458" s="57"/>
      <c r="E1458" s="57"/>
      <c r="F1458" s="57"/>
      <c r="G1458" s="57"/>
      <c r="H1458" s="57"/>
      <c r="I1458" s="57"/>
      <c r="J1458" s="57"/>
      <c r="K1458" s="63"/>
      <c r="L1458" s="57"/>
      <c r="M1458" s="57"/>
      <c r="N1458" s="57"/>
      <c r="O1458" s="57"/>
      <c r="P1458" s="57"/>
      <c r="Q1458" s="57"/>
    </row>
    <row r="1459">
      <c r="A1459" s="60" t="s">
        <v>817</v>
      </c>
      <c r="B1459" s="60" t="s">
        <v>424</v>
      </c>
      <c r="C1459" s="57"/>
      <c r="D1459" s="57"/>
      <c r="E1459" s="57"/>
      <c r="F1459" s="57"/>
      <c r="G1459" s="57"/>
      <c r="H1459" s="57"/>
      <c r="I1459" s="57"/>
      <c r="J1459" s="57"/>
      <c r="K1459" s="63"/>
      <c r="L1459" s="57"/>
      <c r="M1459" s="57"/>
      <c r="N1459" s="57"/>
      <c r="O1459" s="57"/>
      <c r="P1459" s="57"/>
      <c r="Q1459" s="57"/>
    </row>
    <row r="1460">
      <c r="A1460" s="60" t="s">
        <v>818</v>
      </c>
      <c r="B1460" s="60" t="s">
        <v>424</v>
      </c>
      <c r="C1460" s="57"/>
      <c r="D1460" s="57"/>
      <c r="E1460" s="57"/>
      <c r="F1460" s="57"/>
      <c r="G1460" s="57"/>
      <c r="H1460" s="57"/>
      <c r="I1460" s="57"/>
      <c r="J1460" s="57"/>
      <c r="K1460" s="63"/>
      <c r="L1460" s="57"/>
      <c r="M1460" s="57"/>
      <c r="N1460" s="57"/>
      <c r="O1460" s="57"/>
      <c r="P1460" s="57"/>
      <c r="Q1460" s="57"/>
    </row>
    <row r="1461">
      <c r="A1461" s="60" t="s">
        <v>819</v>
      </c>
      <c r="B1461" s="60" t="s">
        <v>472</v>
      </c>
      <c r="C1461" s="57"/>
      <c r="D1461" s="57"/>
      <c r="E1461" s="57"/>
      <c r="F1461" s="57"/>
      <c r="G1461" s="57"/>
      <c r="H1461" s="57"/>
      <c r="I1461" s="57"/>
      <c r="J1461" s="57"/>
      <c r="K1461" s="63"/>
      <c r="L1461" s="57"/>
      <c r="M1461" s="57"/>
      <c r="N1461" s="57"/>
      <c r="O1461" s="57"/>
      <c r="P1461" s="57"/>
      <c r="Q1461" s="57"/>
    </row>
    <row r="1462">
      <c r="A1462" s="83" t="s">
        <v>328</v>
      </c>
      <c r="B1462" s="60" t="s">
        <v>416</v>
      </c>
      <c r="C1462" s="57"/>
      <c r="D1462" s="57"/>
      <c r="E1462" s="57"/>
      <c r="F1462" s="57"/>
      <c r="G1462" s="57"/>
      <c r="H1462" s="57"/>
      <c r="I1462" s="57"/>
      <c r="J1462" s="57"/>
      <c r="K1462" s="63"/>
      <c r="L1462" s="57"/>
      <c r="M1462" s="57"/>
      <c r="N1462" s="57"/>
      <c r="O1462" s="57"/>
      <c r="P1462" s="57"/>
      <c r="Q1462" s="57"/>
    </row>
    <row r="1463">
      <c r="A1463" s="43" t="s">
        <v>38</v>
      </c>
      <c r="B1463" s="26"/>
      <c r="C1463" s="57"/>
      <c r="D1463" s="57"/>
      <c r="E1463" s="57"/>
      <c r="F1463" s="57"/>
      <c r="G1463" s="57"/>
      <c r="H1463" s="57"/>
      <c r="I1463" s="57"/>
      <c r="J1463" s="57"/>
      <c r="K1463" s="66">
        <v>750.0</v>
      </c>
      <c r="L1463" s="57">
        <f t="shared" ref="L1463:L1465" si="588">ROUNDDOWN(K1463*1.1,0)</f>
        <v>825</v>
      </c>
      <c r="M1463" s="57">
        <f t="shared" ref="M1463:M1465" si="589">ROUNDDOWN(K1463*1.21,0)</f>
        <v>907</v>
      </c>
      <c r="N1463" s="57">
        <f t="shared" ref="N1463:N1465" si="590">ROUNDDOWN(K1463*1.33,0)</f>
        <v>997</v>
      </c>
      <c r="O1463" s="57">
        <f t="shared" ref="O1463:O1465" si="591">ROUNDDOWN(K1463*1.46,0)</f>
        <v>1095</v>
      </c>
      <c r="P1463" s="57">
        <f t="shared" ref="P1463:P1465" si="592">ROUNDDOWN(K1463*1.57,0)</f>
        <v>1177</v>
      </c>
      <c r="Q1463" s="57"/>
    </row>
    <row r="1464">
      <c r="A1464" s="43" t="s">
        <v>24</v>
      </c>
      <c r="B1464" s="26"/>
      <c r="C1464" s="57"/>
      <c r="D1464" s="57"/>
      <c r="E1464" s="57"/>
      <c r="F1464" s="57"/>
      <c r="G1464" s="57"/>
      <c r="H1464" s="57"/>
      <c r="I1464" s="57"/>
      <c r="J1464" s="57"/>
      <c r="K1464" s="66">
        <v>160.0</v>
      </c>
      <c r="L1464" s="57">
        <f t="shared" si="588"/>
        <v>176</v>
      </c>
      <c r="M1464" s="57">
        <f t="shared" si="589"/>
        <v>193</v>
      </c>
      <c r="N1464" s="57">
        <f t="shared" si="590"/>
        <v>212</v>
      </c>
      <c r="O1464" s="57">
        <f t="shared" si="591"/>
        <v>233</v>
      </c>
      <c r="P1464" s="57">
        <f t="shared" si="592"/>
        <v>251</v>
      </c>
      <c r="Q1464" s="57"/>
    </row>
    <row r="1465">
      <c r="A1465" s="43" t="s">
        <v>28</v>
      </c>
      <c r="B1465" s="26"/>
      <c r="C1465" s="57"/>
      <c r="D1465" s="57"/>
      <c r="E1465" s="57"/>
      <c r="F1465" s="57"/>
      <c r="G1465" s="57"/>
      <c r="H1465" s="57"/>
      <c r="I1465" s="57"/>
      <c r="J1465" s="57"/>
      <c r="K1465" s="66">
        <v>320.0</v>
      </c>
      <c r="L1465" s="57">
        <f t="shared" si="588"/>
        <v>352</v>
      </c>
      <c r="M1465" s="57">
        <f t="shared" si="589"/>
        <v>387</v>
      </c>
      <c r="N1465" s="57">
        <f t="shared" si="590"/>
        <v>425</v>
      </c>
      <c r="O1465" s="57">
        <f t="shared" si="591"/>
        <v>467</v>
      </c>
      <c r="P1465" s="57">
        <f t="shared" si="592"/>
        <v>502</v>
      </c>
      <c r="Q1465" s="57"/>
    </row>
    <row r="1466">
      <c r="A1466" s="43" t="s">
        <v>428</v>
      </c>
      <c r="B1466" s="60" t="s">
        <v>465</v>
      </c>
      <c r="C1466" s="57"/>
      <c r="D1466" s="57"/>
      <c r="E1466" s="57"/>
      <c r="F1466" s="57"/>
      <c r="G1466" s="57"/>
      <c r="H1466" s="57"/>
      <c r="I1466" s="57"/>
      <c r="J1466" s="57"/>
      <c r="K1466" s="63"/>
      <c r="L1466" s="57"/>
      <c r="M1466" s="57"/>
      <c r="N1466" s="57"/>
      <c r="O1466" s="57"/>
      <c r="P1466" s="57"/>
      <c r="Q1466" s="57"/>
    </row>
    <row r="1467">
      <c r="A1467" s="43" t="s">
        <v>55</v>
      </c>
      <c r="B1467" s="60" t="s">
        <v>430</v>
      </c>
      <c r="C1467" s="57"/>
      <c r="D1467" s="57"/>
      <c r="E1467" s="57"/>
      <c r="F1467" s="57"/>
      <c r="G1467" s="57"/>
      <c r="H1467" s="57"/>
      <c r="I1467" s="57"/>
      <c r="J1467" s="57"/>
      <c r="K1467" s="63"/>
      <c r="L1467" s="57"/>
      <c r="M1467" s="57"/>
      <c r="N1467" s="57"/>
      <c r="O1467" s="57"/>
      <c r="P1467" s="57"/>
      <c r="Q1467" s="57"/>
    </row>
    <row r="1468">
      <c r="A1468" s="43" t="s">
        <v>51</v>
      </c>
      <c r="B1468" s="60" t="s">
        <v>431</v>
      </c>
      <c r="C1468" s="57"/>
      <c r="D1468" s="57"/>
      <c r="E1468" s="57"/>
      <c r="F1468" s="57"/>
      <c r="G1468" s="57"/>
      <c r="H1468" s="57"/>
      <c r="I1468" s="57"/>
      <c r="J1468" s="57"/>
      <c r="K1468" s="63"/>
      <c r="L1468" s="57"/>
      <c r="M1468" s="57"/>
      <c r="N1468" s="57"/>
      <c r="O1468" s="57"/>
      <c r="P1468" s="57"/>
      <c r="Q1468" s="57"/>
    </row>
    <row r="1469">
      <c r="A1469" s="43" t="s">
        <v>49</v>
      </c>
      <c r="B1469" s="60" t="s">
        <v>430</v>
      </c>
      <c r="C1469" s="57"/>
      <c r="D1469" s="57"/>
      <c r="E1469" s="57"/>
      <c r="F1469" s="57"/>
      <c r="G1469" s="57"/>
      <c r="H1469" s="57"/>
      <c r="I1469" s="57"/>
      <c r="J1469" s="57"/>
      <c r="K1469" s="63"/>
      <c r="L1469" s="57"/>
      <c r="M1469" s="57"/>
      <c r="N1469" s="57"/>
      <c r="O1469" s="57"/>
      <c r="P1469" s="57"/>
      <c r="Q1469" s="57"/>
    </row>
    <row r="1470">
      <c r="A1470" s="43" t="s">
        <v>432</v>
      </c>
      <c r="B1470" s="60" t="s">
        <v>645</v>
      </c>
      <c r="C1470" s="57"/>
      <c r="D1470" s="57"/>
      <c r="E1470" s="57"/>
      <c r="F1470" s="57"/>
      <c r="G1470" s="57"/>
      <c r="H1470" s="57"/>
      <c r="I1470" s="57"/>
      <c r="J1470" s="57"/>
      <c r="K1470" s="63"/>
      <c r="L1470" s="57"/>
      <c r="M1470" s="57"/>
      <c r="N1470" s="57"/>
      <c r="O1470" s="57"/>
      <c r="P1470" s="57"/>
      <c r="Q1470" s="57"/>
    </row>
    <row r="1471">
      <c r="A1471" s="43" t="s">
        <v>53</v>
      </c>
      <c r="B1471" s="60" t="s">
        <v>473</v>
      </c>
      <c r="C1471" s="57"/>
      <c r="D1471" s="57"/>
      <c r="E1471" s="57"/>
      <c r="F1471" s="57"/>
      <c r="G1471" s="57"/>
      <c r="H1471" s="57"/>
      <c r="I1471" s="57"/>
      <c r="J1471" s="57"/>
      <c r="K1471" s="63"/>
      <c r="L1471" s="57"/>
      <c r="M1471" s="57"/>
      <c r="N1471" s="57"/>
      <c r="O1471" s="57"/>
      <c r="P1471" s="57"/>
      <c r="Q1471" s="57"/>
    </row>
    <row r="1472">
      <c r="A1472" s="43" t="s">
        <v>50</v>
      </c>
      <c r="B1472" s="60" t="s">
        <v>98</v>
      </c>
      <c r="C1472" s="57"/>
      <c r="D1472" s="57"/>
      <c r="E1472" s="57"/>
      <c r="F1472" s="57"/>
      <c r="G1472" s="57"/>
      <c r="H1472" s="57"/>
      <c r="I1472" s="57"/>
      <c r="J1472" s="57"/>
      <c r="K1472" s="63"/>
      <c r="L1472" s="57"/>
      <c r="M1472" s="57"/>
      <c r="N1472" s="57"/>
      <c r="O1472" s="57"/>
      <c r="P1472" s="57"/>
      <c r="Q1472" s="57"/>
    </row>
    <row r="1473">
      <c r="A1473" s="43" t="s">
        <v>438</v>
      </c>
      <c r="B1473" s="60" t="s">
        <v>436</v>
      </c>
      <c r="C1473" s="57"/>
      <c r="D1473" s="57"/>
      <c r="E1473" s="57"/>
      <c r="F1473" s="57"/>
      <c r="G1473" s="57"/>
      <c r="H1473" s="57"/>
      <c r="I1473" s="57"/>
      <c r="J1473" s="57"/>
      <c r="K1473" s="63"/>
      <c r="L1473" s="57"/>
      <c r="M1473" s="57"/>
      <c r="N1473" s="57"/>
      <c r="O1473" s="57"/>
      <c r="P1473" s="57"/>
      <c r="Q1473" s="57"/>
    </row>
    <row r="1474">
      <c r="A1474" s="43" t="s">
        <v>439</v>
      </c>
      <c r="B1474" s="60" t="s">
        <v>502</v>
      </c>
      <c r="C1474" s="57"/>
      <c r="D1474" s="57"/>
      <c r="E1474" s="57"/>
      <c r="F1474" s="57"/>
      <c r="G1474" s="57"/>
      <c r="H1474" s="57"/>
      <c r="I1474" s="57"/>
      <c r="J1474" s="57"/>
      <c r="K1474" s="63"/>
      <c r="L1474" s="57"/>
      <c r="M1474" s="57"/>
      <c r="N1474" s="57"/>
      <c r="O1474" s="57"/>
      <c r="P1474" s="57"/>
      <c r="Q1474" s="57"/>
    </row>
    <row r="1475">
      <c r="A1475" s="43" t="s">
        <v>441</v>
      </c>
      <c r="B1475" s="60">
        <v>3.0</v>
      </c>
      <c r="C1475" s="57"/>
      <c r="D1475" s="57"/>
      <c r="E1475" s="57"/>
      <c r="F1475" s="57"/>
      <c r="G1475" s="57"/>
      <c r="H1475" s="57"/>
      <c r="I1475" s="57"/>
      <c r="J1475" s="57"/>
      <c r="K1475" s="63"/>
      <c r="L1475" s="57"/>
      <c r="M1475" s="57"/>
      <c r="N1475" s="57"/>
      <c r="O1475" s="57"/>
      <c r="P1475" s="57"/>
      <c r="Q1475" s="57"/>
    </row>
    <row r="1476">
      <c r="A1476" s="43" t="s">
        <v>820</v>
      </c>
      <c r="B1476" s="60" t="s">
        <v>683</v>
      </c>
      <c r="C1476" s="57"/>
      <c r="D1476" s="57"/>
      <c r="E1476" s="57"/>
      <c r="F1476" s="57"/>
      <c r="G1476" s="57"/>
      <c r="H1476" s="57"/>
      <c r="I1476" s="57"/>
      <c r="J1476" s="57"/>
      <c r="K1476" s="63"/>
      <c r="L1476" s="57"/>
      <c r="M1476" s="57"/>
      <c r="N1476" s="57"/>
      <c r="O1476" s="57"/>
      <c r="P1476" s="57"/>
      <c r="Q1476" s="57"/>
    </row>
    <row r="1477">
      <c r="A1477" s="43" t="s">
        <v>821</v>
      </c>
      <c r="B1477" s="60" t="s">
        <v>499</v>
      </c>
      <c r="C1477" s="57"/>
      <c r="D1477" s="57"/>
      <c r="E1477" s="57"/>
      <c r="F1477" s="57"/>
      <c r="G1477" s="57"/>
      <c r="H1477" s="57"/>
      <c r="I1477" s="57"/>
      <c r="J1477" s="57"/>
      <c r="K1477" s="63"/>
      <c r="L1477" s="57"/>
      <c r="M1477" s="57"/>
      <c r="N1477" s="57"/>
      <c r="O1477" s="57"/>
      <c r="P1477" s="57"/>
      <c r="Q1477" s="57"/>
    </row>
    <row r="1478">
      <c r="A1478" s="60" t="s">
        <v>822</v>
      </c>
      <c r="B1478" s="60" t="s">
        <v>465</v>
      </c>
      <c r="C1478" s="57"/>
      <c r="D1478" s="57"/>
      <c r="E1478" s="57"/>
      <c r="F1478" s="57"/>
      <c r="G1478" s="57"/>
      <c r="H1478" s="57"/>
      <c r="I1478" s="57"/>
      <c r="J1478" s="57"/>
      <c r="K1478" s="63"/>
      <c r="L1478" s="57"/>
      <c r="M1478" s="57"/>
      <c r="N1478" s="57"/>
      <c r="O1478" s="57"/>
      <c r="P1478" s="57"/>
      <c r="Q1478" s="57"/>
    </row>
    <row r="1479">
      <c r="A1479" s="60" t="s">
        <v>823</v>
      </c>
      <c r="B1479" s="60" t="s">
        <v>496</v>
      </c>
      <c r="C1479" s="57"/>
      <c r="D1479" s="57"/>
      <c r="E1479" s="57"/>
      <c r="F1479" s="57"/>
      <c r="G1479" s="57"/>
      <c r="H1479" s="57"/>
      <c r="I1479" s="57"/>
      <c r="J1479" s="57"/>
      <c r="K1479" s="63"/>
      <c r="L1479" s="57"/>
      <c r="M1479" s="57"/>
      <c r="N1479" s="57"/>
      <c r="O1479" s="57"/>
      <c r="P1479" s="57"/>
      <c r="Q1479" s="57"/>
    </row>
    <row r="1480">
      <c r="A1480" s="67" t="s">
        <v>332</v>
      </c>
      <c r="B1480" s="60" t="s">
        <v>416</v>
      </c>
      <c r="C1480" s="57"/>
      <c r="D1480" s="57"/>
      <c r="E1480" s="57"/>
      <c r="F1480" s="57"/>
      <c r="G1480" s="57"/>
      <c r="H1480" s="57"/>
      <c r="I1480" s="57"/>
      <c r="J1480" s="57"/>
      <c r="K1480" s="63"/>
      <c r="L1480" s="57"/>
      <c r="M1480" s="57"/>
      <c r="N1480" s="57"/>
      <c r="O1480" s="57"/>
      <c r="P1480" s="57"/>
      <c r="Q1480" s="57"/>
    </row>
    <row r="1481">
      <c r="A1481" s="60" t="s">
        <v>38</v>
      </c>
      <c r="B1481" s="60"/>
      <c r="C1481" s="65">
        <v>119.0</v>
      </c>
      <c r="D1481" s="57">
        <f t="shared" ref="D1481:D1482" si="593">ROUNDDOWN(C1481*1.1,0)</f>
        <v>130</v>
      </c>
      <c r="E1481" s="57">
        <f t="shared" ref="E1481:E1482" si="594">ROUNDDOWN(C1481*1.21,0)</f>
        <v>143</v>
      </c>
      <c r="F1481" s="57">
        <f t="shared" ref="F1481:F1482" si="595">ROUNDDOWN(C1481*1.33,0)</f>
        <v>158</v>
      </c>
      <c r="G1481" s="57">
        <f t="shared" ref="G1481:G1482" si="596">ROUNDDOWN(C1481*1.46,0)</f>
        <v>173</v>
      </c>
      <c r="H1481" s="57">
        <f t="shared" ref="H1481:H1482" si="597">ROUNDDOWN(C1481*1.6,0)</f>
        <v>190</v>
      </c>
      <c r="I1481" s="57">
        <f t="shared" ref="I1481:I1482" si="598">ROUNDDOWN(C1481*1.76,0)</f>
        <v>209</v>
      </c>
      <c r="J1481" s="57">
        <f t="shared" ref="J1481:J1482" si="599">ROUNDDOWN(C1481*1.93,0)</f>
        <v>229</v>
      </c>
      <c r="K1481" s="63">
        <f t="shared" ref="K1481:K1482" si="600">ROUNDDOWN(C1481*2.12,0)</f>
        <v>252</v>
      </c>
      <c r="L1481" s="57">
        <f t="shared" ref="L1481:L1482" si="601">ROUNDDOWN(C1481*2.33,0)</f>
        <v>277</v>
      </c>
      <c r="M1481" s="57">
        <f t="shared" ref="M1481:M1482" si="602">ROUNDDOWN(C1481*2.56,0)</f>
        <v>304</v>
      </c>
      <c r="N1481" s="57">
        <f t="shared" ref="N1481:N1482" si="603">ROUNDDOWN(C1481*2.81,0)</f>
        <v>334</v>
      </c>
      <c r="O1481" s="57">
        <f t="shared" ref="O1481:O1482" si="604">ROUNDDOWN(C1481*3.09,0)</f>
        <v>367</v>
      </c>
      <c r="P1481" s="57">
        <f t="shared" ref="P1481:P1482" si="605">ROUNDDOWN(C1481*3.39,0)</f>
        <v>403</v>
      </c>
      <c r="Q1481" s="57"/>
    </row>
    <row r="1482">
      <c r="A1482" s="60" t="s">
        <v>24</v>
      </c>
      <c r="B1482" s="60"/>
      <c r="C1482" s="65">
        <v>25.0</v>
      </c>
      <c r="D1482" s="57">
        <f t="shared" si="593"/>
        <v>27</v>
      </c>
      <c r="E1482" s="57">
        <f t="shared" si="594"/>
        <v>30</v>
      </c>
      <c r="F1482" s="57">
        <f t="shared" si="595"/>
        <v>33</v>
      </c>
      <c r="G1482" s="57">
        <f t="shared" si="596"/>
        <v>36</v>
      </c>
      <c r="H1482" s="57">
        <f t="shared" si="597"/>
        <v>40</v>
      </c>
      <c r="I1482" s="57">
        <f t="shared" si="598"/>
        <v>44</v>
      </c>
      <c r="J1482" s="57">
        <f t="shared" si="599"/>
        <v>48</v>
      </c>
      <c r="K1482" s="63">
        <f t="shared" si="600"/>
        <v>53</v>
      </c>
      <c r="L1482" s="57">
        <f t="shared" si="601"/>
        <v>58</v>
      </c>
      <c r="M1482" s="57">
        <f t="shared" si="602"/>
        <v>64</v>
      </c>
      <c r="N1482" s="57">
        <f t="shared" si="603"/>
        <v>70</v>
      </c>
      <c r="O1482" s="57">
        <f t="shared" si="604"/>
        <v>77</v>
      </c>
      <c r="P1482" s="57">
        <f t="shared" si="605"/>
        <v>84</v>
      </c>
      <c r="Q1482" s="57"/>
    </row>
    <row r="1483">
      <c r="A1483" s="60" t="s">
        <v>428</v>
      </c>
      <c r="B1483" s="60" t="s">
        <v>824</v>
      </c>
      <c r="C1483" s="57"/>
      <c r="D1483" s="57"/>
      <c r="E1483" s="57"/>
      <c r="F1483" s="57"/>
      <c r="G1483" s="57"/>
      <c r="H1483" s="57"/>
      <c r="I1483" s="57"/>
      <c r="J1483" s="57"/>
      <c r="K1483" s="63"/>
      <c r="L1483" s="57"/>
      <c r="M1483" s="57"/>
      <c r="N1483" s="57"/>
      <c r="O1483" s="57"/>
      <c r="P1483" s="57"/>
      <c r="Q1483" s="57"/>
    </row>
    <row r="1484">
      <c r="A1484" s="60" t="s">
        <v>55</v>
      </c>
      <c r="B1484" s="60" t="s">
        <v>430</v>
      </c>
      <c r="C1484" s="57"/>
      <c r="D1484" s="57"/>
      <c r="E1484" s="57"/>
      <c r="F1484" s="57"/>
      <c r="G1484" s="57"/>
      <c r="H1484" s="57"/>
      <c r="I1484" s="57"/>
      <c r="J1484" s="57"/>
      <c r="K1484" s="63"/>
      <c r="L1484" s="57"/>
      <c r="M1484" s="57"/>
      <c r="N1484" s="57"/>
      <c r="O1484" s="57"/>
      <c r="P1484" s="57"/>
      <c r="Q1484" s="57"/>
    </row>
    <row r="1485">
      <c r="A1485" s="60" t="s">
        <v>51</v>
      </c>
      <c r="B1485" s="60" t="s">
        <v>431</v>
      </c>
      <c r="C1485" s="57"/>
      <c r="D1485" s="57"/>
      <c r="E1485" s="57"/>
      <c r="F1485" s="57"/>
      <c r="G1485" s="57"/>
      <c r="H1485" s="57"/>
      <c r="I1485" s="57"/>
      <c r="J1485" s="57"/>
      <c r="K1485" s="63"/>
      <c r="L1485" s="57"/>
      <c r="M1485" s="57"/>
      <c r="N1485" s="57"/>
      <c r="O1485" s="57"/>
      <c r="P1485" s="57"/>
      <c r="Q1485" s="57"/>
    </row>
    <row r="1486">
      <c r="A1486" s="60" t="s">
        <v>49</v>
      </c>
      <c r="B1486" s="60" t="s">
        <v>541</v>
      </c>
      <c r="C1486" s="57"/>
      <c r="D1486" s="57"/>
      <c r="E1486" s="57"/>
      <c r="F1486" s="57"/>
      <c r="G1486" s="57"/>
      <c r="H1486" s="57"/>
      <c r="I1486" s="57"/>
      <c r="J1486" s="57"/>
      <c r="K1486" s="63"/>
      <c r="L1486" s="57"/>
      <c r="M1486" s="57"/>
      <c r="N1486" s="57"/>
      <c r="O1486" s="57"/>
      <c r="P1486" s="57"/>
      <c r="Q1486" s="57"/>
    </row>
    <row r="1487">
      <c r="A1487" s="60" t="s">
        <v>432</v>
      </c>
      <c r="B1487" s="60" t="s">
        <v>602</v>
      </c>
      <c r="C1487" s="57"/>
      <c r="D1487" s="57"/>
      <c r="E1487" s="57"/>
      <c r="F1487" s="57"/>
      <c r="G1487" s="57"/>
      <c r="H1487" s="57"/>
      <c r="I1487" s="57"/>
      <c r="J1487" s="57"/>
      <c r="K1487" s="63"/>
      <c r="L1487" s="57"/>
      <c r="M1487" s="57"/>
      <c r="N1487" s="57"/>
      <c r="O1487" s="57"/>
      <c r="P1487" s="57"/>
      <c r="Q1487" s="57"/>
    </row>
    <row r="1488">
      <c r="A1488" s="60" t="s">
        <v>422</v>
      </c>
      <c r="B1488" s="60" t="s">
        <v>517</v>
      </c>
      <c r="C1488" s="57"/>
      <c r="D1488" s="57"/>
      <c r="E1488" s="57"/>
      <c r="F1488" s="57"/>
      <c r="G1488" s="57"/>
      <c r="H1488" s="57"/>
      <c r="I1488" s="57"/>
      <c r="J1488" s="57"/>
      <c r="K1488" s="63"/>
      <c r="L1488" s="57"/>
      <c r="M1488" s="57"/>
      <c r="N1488" s="57"/>
      <c r="O1488" s="57"/>
      <c r="P1488" s="57"/>
      <c r="Q1488" s="57"/>
    </row>
    <row r="1489">
      <c r="A1489" s="60" t="s">
        <v>426</v>
      </c>
      <c r="B1489" s="60" t="s">
        <v>427</v>
      </c>
      <c r="C1489" s="57"/>
      <c r="D1489" s="57"/>
      <c r="E1489" s="57"/>
      <c r="F1489" s="57"/>
      <c r="G1489" s="57"/>
      <c r="H1489" s="57"/>
      <c r="I1489" s="57"/>
      <c r="J1489" s="57"/>
      <c r="K1489" s="63"/>
      <c r="L1489" s="57"/>
      <c r="M1489" s="57"/>
      <c r="N1489" s="57"/>
      <c r="O1489" s="57"/>
      <c r="P1489" s="57"/>
      <c r="Q1489" s="57"/>
    </row>
    <row r="1490">
      <c r="A1490" s="60" t="s">
        <v>528</v>
      </c>
      <c r="B1490" s="60" t="s">
        <v>529</v>
      </c>
      <c r="C1490" s="57"/>
      <c r="D1490" s="57"/>
      <c r="E1490" s="57"/>
      <c r="F1490" s="57"/>
      <c r="G1490" s="57"/>
      <c r="H1490" s="57"/>
      <c r="I1490" s="57"/>
      <c r="J1490" s="57"/>
      <c r="K1490" s="63"/>
      <c r="L1490" s="57"/>
      <c r="M1490" s="57"/>
      <c r="N1490" s="57"/>
      <c r="O1490" s="57"/>
      <c r="P1490" s="57"/>
      <c r="Q1490" s="57"/>
    </row>
    <row r="1491">
      <c r="A1491" s="60" t="s">
        <v>825</v>
      </c>
      <c r="B1491" s="60" t="s">
        <v>522</v>
      </c>
      <c r="C1491" s="57"/>
      <c r="D1491" s="57"/>
      <c r="E1491" s="57"/>
      <c r="F1491" s="57"/>
      <c r="G1491" s="57"/>
      <c r="H1491" s="57"/>
      <c r="I1491" s="57"/>
      <c r="J1491" s="57"/>
      <c r="K1491" s="63"/>
      <c r="L1491" s="57"/>
      <c r="M1491" s="57"/>
      <c r="N1491" s="57"/>
      <c r="O1491" s="57"/>
      <c r="P1491" s="57"/>
      <c r="Q1491" s="57"/>
    </row>
    <row r="1492">
      <c r="A1492" s="60" t="s">
        <v>483</v>
      </c>
      <c r="B1492" s="60" t="s">
        <v>487</v>
      </c>
      <c r="C1492" s="57"/>
      <c r="D1492" s="57"/>
      <c r="E1492" s="57"/>
      <c r="F1492" s="57"/>
      <c r="G1492" s="57"/>
      <c r="H1492" s="57"/>
      <c r="I1492" s="57"/>
      <c r="J1492" s="57"/>
      <c r="K1492" s="63"/>
      <c r="L1492" s="57"/>
      <c r="M1492" s="57"/>
      <c r="N1492" s="57"/>
      <c r="O1492" s="57"/>
      <c r="P1492" s="57"/>
      <c r="Q1492" s="57"/>
    </row>
    <row r="1493">
      <c r="A1493" s="60" t="s">
        <v>826</v>
      </c>
      <c r="B1493" s="60" t="s">
        <v>427</v>
      </c>
      <c r="C1493" s="57"/>
      <c r="D1493" s="57"/>
      <c r="E1493" s="57"/>
      <c r="F1493" s="57"/>
      <c r="G1493" s="57"/>
      <c r="H1493" s="57"/>
      <c r="I1493" s="57"/>
      <c r="J1493" s="57"/>
      <c r="K1493" s="63"/>
      <c r="L1493" s="57"/>
      <c r="M1493" s="57"/>
      <c r="N1493" s="57"/>
      <c r="O1493" s="57"/>
      <c r="P1493" s="57"/>
      <c r="Q1493" s="57"/>
    </row>
    <row r="1494">
      <c r="A1494" s="60" t="s">
        <v>827</v>
      </c>
      <c r="B1494" s="60" t="s">
        <v>487</v>
      </c>
      <c r="C1494" s="57"/>
      <c r="D1494" s="57"/>
      <c r="E1494" s="57"/>
      <c r="F1494" s="57"/>
      <c r="G1494" s="57"/>
      <c r="H1494" s="57"/>
      <c r="I1494" s="57"/>
      <c r="J1494" s="57"/>
      <c r="K1494" s="63"/>
      <c r="L1494" s="57"/>
      <c r="M1494" s="57"/>
      <c r="N1494" s="57"/>
      <c r="O1494" s="57"/>
      <c r="P1494" s="57"/>
      <c r="Q1494" s="57"/>
    </row>
    <row r="1495">
      <c r="A1495" s="60" t="s">
        <v>828</v>
      </c>
      <c r="B1495" s="60" t="s">
        <v>494</v>
      </c>
      <c r="C1495" s="57"/>
      <c r="D1495" s="57"/>
      <c r="E1495" s="57"/>
      <c r="F1495" s="57"/>
      <c r="G1495" s="57"/>
      <c r="H1495" s="57"/>
      <c r="I1495" s="57"/>
      <c r="J1495" s="57"/>
      <c r="K1495" s="63"/>
      <c r="L1495" s="57"/>
      <c r="M1495" s="57"/>
      <c r="N1495" s="57"/>
      <c r="O1495" s="57"/>
      <c r="P1495" s="57"/>
      <c r="Q1495" s="57"/>
    </row>
    <row r="1496">
      <c r="A1496" s="60" t="s">
        <v>829</v>
      </c>
      <c r="B1496" s="60" t="s">
        <v>456</v>
      </c>
      <c r="C1496" s="57"/>
      <c r="D1496" s="57"/>
      <c r="E1496" s="57"/>
      <c r="F1496" s="57"/>
      <c r="G1496" s="57"/>
      <c r="H1496" s="57"/>
      <c r="I1496" s="57"/>
      <c r="J1496" s="57"/>
      <c r="K1496" s="63"/>
      <c r="L1496" s="57"/>
      <c r="M1496" s="57"/>
      <c r="N1496" s="57"/>
      <c r="O1496" s="57"/>
      <c r="P1496" s="57"/>
      <c r="Q1496" s="57"/>
    </row>
    <row r="1497">
      <c r="A1497" s="60" t="s">
        <v>830</v>
      </c>
      <c r="B1497" s="60">
        <v>5.0</v>
      </c>
      <c r="C1497" s="57"/>
      <c r="D1497" s="57"/>
      <c r="E1497" s="57"/>
      <c r="F1497" s="57"/>
      <c r="G1497" s="57"/>
      <c r="H1497" s="57"/>
      <c r="I1497" s="57"/>
      <c r="J1497" s="57"/>
      <c r="K1497" s="63"/>
      <c r="L1497" s="57"/>
      <c r="M1497" s="57"/>
      <c r="N1497" s="57"/>
      <c r="O1497" s="57"/>
      <c r="P1497" s="57"/>
      <c r="Q1497" s="57"/>
    </row>
    <row r="1498">
      <c r="A1498" s="60" t="s">
        <v>831</v>
      </c>
      <c r="B1498" s="60" t="s">
        <v>832</v>
      </c>
      <c r="C1498" s="57"/>
      <c r="D1498" s="57"/>
      <c r="E1498" s="57"/>
      <c r="F1498" s="57"/>
      <c r="G1498" s="57"/>
      <c r="H1498" s="57"/>
      <c r="I1498" s="57"/>
      <c r="J1498" s="57"/>
      <c r="K1498" s="63"/>
      <c r="L1498" s="57"/>
      <c r="M1498" s="57"/>
      <c r="N1498" s="57"/>
      <c r="O1498" s="57"/>
      <c r="P1498" s="57"/>
      <c r="Q1498" s="57"/>
    </row>
    <row r="1499">
      <c r="A1499" s="60" t="s">
        <v>833</v>
      </c>
      <c r="B1499" s="60" t="s">
        <v>456</v>
      </c>
      <c r="C1499" s="57"/>
      <c r="D1499" s="57"/>
      <c r="E1499" s="57"/>
      <c r="F1499" s="57"/>
      <c r="G1499" s="57"/>
      <c r="H1499" s="57"/>
      <c r="I1499" s="57"/>
      <c r="J1499" s="57"/>
      <c r="K1499" s="63"/>
      <c r="L1499" s="57"/>
      <c r="M1499" s="57"/>
      <c r="N1499" s="57"/>
      <c r="O1499" s="57"/>
      <c r="P1499" s="57"/>
      <c r="Q1499" s="57"/>
    </row>
    <row r="1500">
      <c r="A1500" s="60" t="s">
        <v>834</v>
      </c>
      <c r="B1500" s="60" t="s">
        <v>505</v>
      </c>
      <c r="C1500" s="57"/>
      <c r="D1500" s="57"/>
      <c r="E1500" s="57"/>
      <c r="F1500" s="57"/>
      <c r="G1500" s="57"/>
      <c r="H1500" s="57"/>
      <c r="I1500" s="57"/>
      <c r="J1500" s="57"/>
      <c r="K1500" s="63"/>
      <c r="L1500" s="57"/>
      <c r="M1500" s="57"/>
      <c r="N1500" s="57"/>
      <c r="O1500" s="57"/>
      <c r="P1500" s="57"/>
      <c r="Q1500" s="57"/>
    </row>
    <row r="1501">
      <c r="A1501" s="60" t="s">
        <v>835</v>
      </c>
      <c r="B1501" s="60" t="s">
        <v>433</v>
      </c>
      <c r="C1501" s="57"/>
      <c r="D1501" s="57"/>
      <c r="E1501" s="57"/>
      <c r="F1501" s="57"/>
      <c r="G1501" s="57"/>
      <c r="H1501" s="57"/>
      <c r="I1501" s="57"/>
      <c r="J1501" s="57"/>
      <c r="K1501" s="63"/>
      <c r="L1501" s="57"/>
      <c r="M1501" s="57"/>
      <c r="N1501" s="57"/>
      <c r="O1501" s="57"/>
      <c r="P1501" s="57"/>
      <c r="Q1501" s="57"/>
    </row>
    <row r="1502">
      <c r="A1502" s="60" t="s">
        <v>836</v>
      </c>
      <c r="B1502" s="60" t="s">
        <v>529</v>
      </c>
      <c r="C1502" s="57"/>
      <c r="D1502" s="57"/>
      <c r="E1502" s="57"/>
      <c r="F1502" s="57"/>
      <c r="G1502" s="57"/>
      <c r="H1502" s="57"/>
      <c r="I1502" s="57"/>
      <c r="J1502" s="57"/>
      <c r="K1502" s="63"/>
      <c r="L1502" s="57"/>
      <c r="M1502" s="57"/>
      <c r="N1502" s="57"/>
      <c r="O1502" s="57"/>
      <c r="P1502" s="57"/>
      <c r="Q1502" s="57"/>
    </row>
    <row r="1503">
      <c r="A1503" s="60" t="s">
        <v>53</v>
      </c>
      <c r="B1503" s="60" t="s">
        <v>465</v>
      </c>
      <c r="C1503" s="57"/>
      <c r="D1503" s="57"/>
      <c r="E1503" s="57"/>
      <c r="F1503" s="57"/>
      <c r="G1503" s="57"/>
      <c r="H1503" s="57"/>
      <c r="I1503" s="57"/>
      <c r="J1503" s="57"/>
      <c r="K1503" s="63"/>
      <c r="L1503" s="57"/>
      <c r="M1503" s="57"/>
      <c r="N1503" s="57"/>
      <c r="O1503" s="57"/>
      <c r="P1503" s="57"/>
      <c r="Q1503" s="57"/>
    </row>
    <row r="1504">
      <c r="A1504" s="60" t="s">
        <v>50</v>
      </c>
      <c r="B1504" s="60" t="s">
        <v>425</v>
      </c>
      <c r="C1504" s="57"/>
      <c r="D1504" s="57"/>
      <c r="E1504" s="57"/>
      <c r="F1504" s="57"/>
      <c r="G1504" s="57"/>
      <c r="H1504" s="57"/>
      <c r="I1504" s="57"/>
      <c r="J1504" s="57"/>
      <c r="K1504" s="63"/>
      <c r="L1504" s="57"/>
      <c r="M1504" s="57"/>
      <c r="N1504" s="57"/>
      <c r="O1504" s="57"/>
      <c r="P1504" s="57"/>
      <c r="Q1504" s="57"/>
    </row>
    <row r="1505">
      <c r="A1505" s="60" t="s">
        <v>837</v>
      </c>
      <c r="B1505" s="60" t="s">
        <v>443</v>
      </c>
      <c r="C1505" s="57"/>
      <c r="D1505" s="57"/>
      <c r="E1505" s="57"/>
      <c r="F1505" s="57"/>
      <c r="G1505" s="57"/>
      <c r="H1505" s="57"/>
      <c r="I1505" s="57"/>
      <c r="J1505" s="57"/>
      <c r="K1505" s="63"/>
      <c r="L1505" s="57"/>
      <c r="M1505" s="57"/>
      <c r="N1505" s="57"/>
      <c r="O1505" s="57"/>
      <c r="P1505" s="57"/>
      <c r="Q1505" s="57"/>
    </row>
    <row r="1506">
      <c r="A1506" s="60" t="s">
        <v>438</v>
      </c>
      <c r="B1506" s="60" t="s">
        <v>436</v>
      </c>
      <c r="C1506" s="57"/>
      <c r="D1506" s="57"/>
      <c r="E1506" s="57"/>
      <c r="F1506" s="57"/>
      <c r="G1506" s="57"/>
      <c r="H1506" s="57"/>
      <c r="I1506" s="57"/>
      <c r="J1506" s="57"/>
      <c r="K1506" s="63"/>
      <c r="L1506" s="57"/>
      <c r="M1506" s="57"/>
      <c r="N1506" s="57"/>
      <c r="O1506" s="57"/>
      <c r="P1506" s="57"/>
      <c r="Q1506" s="57"/>
    </row>
    <row r="1507">
      <c r="A1507" s="60" t="s">
        <v>439</v>
      </c>
      <c r="B1507" s="60" t="s">
        <v>440</v>
      </c>
      <c r="C1507" s="57"/>
      <c r="D1507" s="57"/>
      <c r="E1507" s="57"/>
      <c r="F1507" s="57"/>
      <c r="G1507" s="57"/>
      <c r="H1507" s="57"/>
      <c r="I1507" s="57"/>
      <c r="J1507" s="57"/>
      <c r="K1507" s="63"/>
      <c r="L1507" s="57"/>
      <c r="M1507" s="57"/>
      <c r="N1507" s="57"/>
      <c r="O1507" s="57"/>
      <c r="P1507" s="57"/>
      <c r="Q1507" s="57"/>
    </row>
    <row r="1508">
      <c r="A1508" s="60" t="s">
        <v>441</v>
      </c>
      <c r="B1508" s="60">
        <v>6.0</v>
      </c>
      <c r="C1508" s="57"/>
      <c r="D1508" s="57"/>
      <c r="E1508" s="57"/>
      <c r="F1508" s="57"/>
      <c r="G1508" s="57"/>
      <c r="H1508" s="57"/>
      <c r="I1508" s="57"/>
      <c r="J1508" s="57"/>
      <c r="K1508" s="63"/>
      <c r="L1508" s="57"/>
      <c r="M1508" s="57"/>
      <c r="N1508" s="57"/>
      <c r="O1508" s="57"/>
      <c r="P1508" s="57"/>
      <c r="Q1508" s="57"/>
    </row>
    <row r="1509">
      <c r="A1509" s="60" t="s">
        <v>444</v>
      </c>
      <c r="B1509" s="60" t="s">
        <v>838</v>
      </c>
      <c r="C1509" s="57"/>
      <c r="D1509" s="57"/>
      <c r="E1509" s="57"/>
      <c r="F1509" s="57"/>
      <c r="G1509" s="57"/>
      <c r="H1509" s="57"/>
      <c r="I1509" s="57"/>
      <c r="J1509" s="57"/>
      <c r="K1509" s="63"/>
      <c r="L1509" s="57"/>
      <c r="M1509" s="57"/>
      <c r="N1509" s="57"/>
      <c r="O1509" s="57"/>
      <c r="P1509" s="57"/>
      <c r="Q1509" s="57"/>
    </row>
    <row r="1510">
      <c r="A1510" s="60" t="s">
        <v>446</v>
      </c>
      <c r="B1510" s="60" t="s">
        <v>462</v>
      </c>
      <c r="C1510" s="57"/>
      <c r="D1510" s="57"/>
      <c r="E1510" s="57"/>
      <c r="F1510" s="57"/>
      <c r="G1510" s="57"/>
      <c r="H1510" s="57"/>
      <c r="I1510" s="57"/>
      <c r="J1510" s="57"/>
      <c r="K1510" s="63"/>
      <c r="L1510" s="57"/>
      <c r="M1510" s="57"/>
      <c r="N1510" s="57"/>
      <c r="O1510" s="57"/>
      <c r="P1510" s="57"/>
      <c r="Q1510" s="57"/>
    </row>
    <row r="1511">
      <c r="A1511" s="67" t="s">
        <v>251</v>
      </c>
      <c r="B1511" s="60" t="s">
        <v>539</v>
      </c>
      <c r="C1511" s="57"/>
      <c r="D1511" s="57"/>
      <c r="E1511" s="57"/>
      <c r="F1511" s="57"/>
      <c r="G1511" s="57"/>
      <c r="H1511" s="57"/>
      <c r="I1511" s="57"/>
      <c r="J1511" s="57"/>
      <c r="K1511" s="63"/>
      <c r="L1511" s="57"/>
      <c r="M1511" s="57"/>
      <c r="N1511" s="57"/>
      <c r="O1511" s="57"/>
      <c r="P1511" s="57"/>
      <c r="Q1511" s="57"/>
    </row>
    <row r="1512">
      <c r="A1512" s="60" t="s">
        <v>38</v>
      </c>
      <c r="B1512" s="26"/>
      <c r="C1512" s="65">
        <v>524.0</v>
      </c>
      <c r="D1512" s="57">
        <f t="shared" ref="D1512:D1513" si="606">ROUNDDOWN(C1512*1.1,0)</f>
        <v>576</v>
      </c>
      <c r="E1512" s="57">
        <f t="shared" ref="E1512:E1513" si="607">ROUNDDOWN(C1512*1.21,0)</f>
        <v>634</v>
      </c>
      <c r="F1512" s="57">
        <f t="shared" ref="F1512:F1513" si="608">ROUNDDOWN(C1512*1.33,0)</f>
        <v>696</v>
      </c>
      <c r="G1512" s="57">
        <f t="shared" ref="G1512:G1513" si="609">ROUNDDOWN(C1512*1.46,0)</f>
        <v>765</v>
      </c>
      <c r="H1512" s="57">
        <f t="shared" ref="H1512:H1513" si="610">ROUNDDOWN(C1512*1.6,0)</f>
        <v>838</v>
      </c>
      <c r="I1512" s="57">
        <f t="shared" ref="I1512:I1513" si="611">ROUNDDOWN(C1512*1.76,0)</f>
        <v>922</v>
      </c>
      <c r="J1512" s="57">
        <f t="shared" ref="J1512:J1513" si="612">ROUNDDOWN(C1512*1.93,0)</f>
        <v>1011</v>
      </c>
      <c r="K1512" s="63">
        <f t="shared" ref="K1512:K1513" si="613">ROUNDDOWN(C1512*2.12,0)</f>
        <v>1110</v>
      </c>
      <c r="L1512" s="57">
        <f t="shared" ref="L1512:L1513" si="614">ROUNDDOWN(C1512*2.33,0)</f>
        <v>1220</v>
      </c>
      <c r="M1512" s="57">
        <f t="shared" ref="M1512:M1513" si="615">ROUNDDOWN(C1512*2.56,0)</f>
        <v>1341</v>
      </c>
      <c r="N1512" s="57">
        <f t="shared" ref="N1512:N1513" si="616">ROUNDDOWN(C1512*2.81,0)</f>
        <v>1472</v>
      </c>
      <c r="O1512" s="57">
        <f t="shared" ref="O1512:O1513" si="617">ROUNDDOWN(C1512*3.09,0)</f>
        <v>1619</v>
      </c>
      <c r="P1512" s="57">
        <f t="shared" ref="P1512:P1513" si="618">ROUNDDOWN(C1512*3.39,0)</f>
        <v>1776</v>
      </c>
      <c r="Q1512" s="57"/>
    </row>
    <row r="1513">
      <c r="A1513" s="60" t="s">
        <v>24</v>
      </c>
      <c r="B1513" s="26"/>
      <c r="C1513" s="65">
        <v>150.0</v>
      </c>
      <c r="D1513" s="57">
        <f t="shared" si="606"/>
        <v>165</v>
      </c>
      <c r="E1513" s="57">
        <f t="shared" si="607"/>
        <v>181</v>
      </c>
      <c r="F1513" s="57">
        <f t="shared" si="608"/>
        <v>199</v>
      </c>
      <c r="G1513" s="57">
        <f t="shared" si="609"/>
        <v>219</v>
      </c>
      <c r="H1513" s="57">
        <f t="shared" si="610"/>
        <v>240</v>
      </c>
      <c r="I1513" s="57">
        <f t="shared" si="611"/>
        <v>264</v>
      </c>
      <c r="J1513" s="57">
        <f t="shared" si="612"/>
        <v>289</v>
      </c>
      <c r="K1513" s="63">
        <f t="shared" si="613"/>
        <v>318</v>
      </c>
      <c r="L1513" s="57">
        <f t="shared" si="614"/>
        <v>349</v>
      </c>
      <c r="M1513" s="57">
        <f t="shared" si="615"/>
        <v>384</v>
      </c>
      <c r="N1513" s="57">
        <f t="shared" si="616"/>
        <v>421</v>
      </c>
      <c r="O1513" s="57">
        <f t="shared" si="617"/>
        <v>463</v>
      </c>
      <c r="P1513" s="57">
        <f t="shared" si="618"/>
        <v>508</v>
      </c>
      <c r="Q1513" s="57"/>
    </row>
    <row r="1514">
      <c r="A1514" s="60" t="s">
        <v>428</v>
      </c>
      <c r="B1514" s="60" t="s">
        <v>429</v>
      </c>
      <c r="C1514" s="57"/>
      <c r="D1514" s="57"/>
      <c r="E1514" s="57"/>
      <c r="F1514" s="57"/>
      <c r="G1514" s="57"/>
      <c r="H1514" s="57"/>
      <c r="I1514" s="57"/>
      <c r="J1514" s="57"/>
      <c r="K1514" s="63"/>
      <c r="L1514" s="57"/>
      <c r="M1514" s="57"/>
      <c r="N1514" s="57"/>
      <c r="O1514" s="57"/>
      <c r="P1514" s="57"/>
      <c r="Q1514" s="57"/>
    </row>
    <row r="1515">
      <c r="A1515" s="60" t="s">
        <v>55</v>
      </c>
      <c r="B1515" s="60" t="s">
        <v>430</v>
      </c>
      <c r="C1515" s="57"/>
      <c r="D1515" s="57"/>
      <c r="E1515" s="57"/>
      <c r="F1515" s="57"/>
      <c r="G1515" s="57"/>
      <c r="H1515" s="57"/>
      <c r="I1515" s="57"/>
      <c r="J1515" s="57"/>
      <c r="K1515" s="63"/>
      <c r="L1515" s="57"/>
      <c r="M1515" s="57"/>
      <c r="N1515" s="57"/>
      <c r="O1515" s="57"/>
      <c r="P1515" s="57"/>
      <c r="Q1515" s="57"/>
    </row>
    <row r="1516">
      <c r="A1516" s="60" t="s">
        <v>51</v>
      </c>
      <c r="B1516" s="60" t="s">
        <v>431</v>
      </c>
      <c r="C1516" s="57"/>
      <c r="D1516" s="57"/>
      <c r="E1516" s="57"/>
      <c r="F1516" s="57"/>
      <c r="G1516" s="57"/>
      <c r="H1516" s="57"/>
      <c r="I1516" s="57"/>
      <c r="J1516" s="57"/>
      <c r="K1516" s="63"/>
      <c r="L1516" s="57"/>
      <c r="M1516" s="57"/>
      <c r="N1516" s="57"/>
      <c r="O1516" s="57"/>
      <c r="P1516" s="57"/>
      <c r="Q1516" s="57"/>
    </row>
    <row r="1517">
      <c r="A1517" s="60" t="s">
        <v>49</v>
      </c>
      <c r="B1517" s="60" t="s">
        <v>492</v>
      </c>
      <c r="C1517" s="57"/>
      <c r="D1517" s="57"/>
      <c r="E1517" s="57"/>
      <c r="F1517" s="57"/>
      <c r="G1517" s="57"/>
      <c r="H1517" s="57"/>
      <c r="I1517" s="57"/>
      <c r="J1517" s="57"/>
      <c r="K1517" s="63"/>
      <c r="L1517" s="57"/>
      <c r="M1517" s="57"/>
      <c r="N1517" s="57"/>
      <c r="O1517" s="57"/>
      <c r="P1517" s="57"/>
      <c r="Q1517" s="57"/>
    </row>
    <row r="1518">
      <c r="A1518" s="60" t="s">
        <v>432</v>
      </c>
      <c r="B1518" s="60" t="s">
        <v>430</v>
      </c>
      <c r="C1518" s="57"/>
      <c r="D1518" s="57"/>
      <c r="E1518" s="57"/>
      <c r="F1518" s="57"/>
      <c r="G1518" s="57"/>
      <c r="H1518" s="57"/>
      <c r="I1518" s="57"/>
      <c r="J1518" s="57"/>
      <c r="K1518" s="63"/>
      <c r="L1518" s="57"/>
      <c r="M1518" s="57"/>
      <c r="N1518" s="57"/>
      <c r="O1518" s="57"/>
      <c r="P1518" s="57"/>
      <c r="Q1518" s="57"/>
    </row>
    <row r="1519">
      <c r="A1519" s="60" t="s">
        <v>53</v>
      </c>
      <c r="B1519" s="60" t="s">
        <v>458</v>
      </c>
      <c r="C1519" s="57"/>
      <c r="D1519" s="57"/>
      <c r="E1519" s="57"/>
      <c r="F1519" s="57"/>
      <c r="G1519" s="57"/>
      <c r="H1519" s="57"/>
      <c r="I1519" s="57"/>
      <c r="J1519" s="57"/>
      <c r="K1519" s="63"/>
      <c r="L1519" s="57"/>
      <c r="M1519" s="57"/>
      <c r="N1519" s="57"/>
      <c r="O1519" s="57"/>
      <c r="P1519" s="57"/>
      <c r="Q1519" s="57"/>
    </row>
    <row r="1520">
      <c r="A1520" s="60" t="s">
        <v>50</v>
      </c>
      <c r="B1520" s="60" t="s">
        <v>98</v>
      </c>
      <c r="C1520" s="57"/>
      <c r="D1520" s="57"/>
      <c r="E1520" s="57"/>
      <c r="F1520" s="57"/>
      <c r="G1520" s="57"/>
      <c r="H1520" s="57"/>
      <c r="I1520" s="57"/>
      <c r="J1520" s="57"/>
      <c r="K1520" s="63"/>
      <c r="L1520" s="57"/>
      <c r="M1520" s="57"/>
      <c r="N1520" s="57"/>
      <c r="O1520" s="57"/>
      <c r="P1520" s="57"/>
      <c r="Q1520" s="57"/>
    </row>
    <row r="1521">
      <c r="A1521" s="60" t="s">
        <v>438</v>
      </c>
      <c r="B1521" s="60" t="s">
        <v>436</v>
      </c>
      <c r="C1521" s="57"/>
      <c r="D1521" s="57"/>
      <c r="E1521" s="57"/>
      <c r="F1521" s="57"/>
      <c r="G1521" s="57"/>
      <c r="H1521" s="57"/>
      <c r="I1521" s="57"/>
      <c r="J1521" s="57"/>
      <c r="K1521" s="63"/>
      <c r="L1521" s="57"/>
      <c r="M1521" s="57"/>
      <c r="N1521" s="57"/>
      <c r="O1521" s="57"/>
      <c r="P1521" s="57"/>
      <c r="Q1521" s="57"/>
    </row>
    <row r="1522">
      <c r="A1522" s="60" t="s">
        <v>439</v>
      </c>
      <c r="B1522" s="60" t="s">
        <v>440</v>
      </c>
      <c r="C1522" s="57"/>
      <c r="D1522" s="57"/>
      <c r="E1522" s="57"/>
      <c r="F1522" s="57"/>
      <c r="G1522" s="57"/>
      <c r="H1522" s="57"/>
      <c r="I1522" s="57"/>
      <c r="J1522" s="57"/>
      <c r="K1522" s="63"/>
      <c r="L1522" s="57"/>
      <c r="M1522" s="57"/>
      <c r="N1522" s="57"/>
      <c r="O1522" s="57"/>
      <c r="P1522" s="57"/>
      <c r="Q1522" s="57"/>
    </row>
    <row r="1523">
      <c r="A1523" s="60" t="s">
        <v>441</v>
      </c>
      <c r="B1523" s="60">
        <v>4.0</v>
      </c>
      <c r="C1523" s="57"/>
      <c r="D1523" s="57"/>
      <c r="E1523" s="57"/>
      <c r="F1523" s="57"/>
      <c r="G1523" s="57"/>
      <c r="H1523" s="57"/>
      <c r="I1523" s="57"/>
      <c r="J1523" s="57"/>
      <c r="K1523" s="63"/>
      <c r="L1523" s="57"/>
      <c r="M1523" s="57"/>
      <c r="N1523" s="57"/>
      <c r="O1523" s="57"/>
      <c r="P1523" s="57"/>
      <c r="Q1523" s="57"/>
    </row>
    <row r="1524">
      <c r="A1524" s="60" t="s">
        <v>444</v>
      </c>
      <c r="B1524" s="60" t="s">
        <v>445</v>
      </c>
      <c r="C1524" s="57"/>
      <c r="D1524" s="57"/>
      <c r="E1524" s="57"/>
      <c r="F1524" s="57"/>
      <c r="G1524" s="57"/>
      <c r="H1524" s="57"/>
      <c r="I1524" s="57"/>
      <c r="J1524" s="57"/>
      <c r="K1524" s="63"/>
      <c r="L1524" s="57"/>
      <c r="M1524" s="57"/>
      <c r="N1524" s="57"/>
      <c r="O1524" s="57"/>
      <c r="P1524" s="57"/>
      <c r="Q1524" s="57"/>
    </row>
    <row r="1525">
      <c r="A1525" s="60" t="s">
        <v>446</v>
      </c>
      <c r="B1525" s="60" t="s">
        <v>445</v>
      </c>
      <c r="C1525" s="57"/>
      <c r="D1525" s="57"/>
      <c r="E1525" s="57"/>
      <c r="F1525" s="57"/>
      <c r="G1525" s="57"/>
      <c r="H1525" s="57"/>
      <c r="I1525" s="57"/>
      <c r="J1525" s="57"/>
      <c r="K1525" s="63"/>
      <c r="L1525" s="57"/>
      <c r="M1525" s="57"/>
      <c r="N1525" s="57"/>
      <c r="O1525" s="57"/>
      <c r="P1525" s="57"/>
      <c r="Q1525" s="57"/>
    </row>
    <row r="1526">
      <c r="A1526" s="60" t="s">
        <v>447</v>
      </c>
      <c r="B1526" s="60" t="s">
        <v>448</v>
      </c>
      <c r="C1526" s="57"/>
      <c r="D1526" s="57"/>
      <c r="E1526" s="57"/>
      <c r="F1526" s="57"/>
      <c r="G1526" s="57"/>
      <c r="H1526" s="57"/>
      <c r="I1526" s="57"/>
      <c r="J1526" s="57"/>
      <c r="K1526" s="63"/>
      <c r="L1526" s="57"/>
      <c r="M1526" s="57"/>
      <c r="N1526" s="57"/>
      <c r="O1526" s="57"/>
      <c r="P1526" s="57"/>
      <c r="Q1526" s="57"/>
    </row>
    <row r="1527">
      <c r="A1527" s="60" t="s">
        <v>57</v>
      </c>
      <c r="B1527" s="60">
        <v>2.0</v>
      </c>
      <c r="C1527" s="57"/>
      <c r="D1527" s="57"/>
      <c r="E1527" s="57"/>
      <c r="F1527" s="57"/>
      <c r="G1527" s="57"/>
      <c r="H1527" s="57"/>
      <c r="I1527" s="57"/>
      <c r="J1527" s="57"/>
      <c r="K1527" s="63"/>
      <c r="L1527" s="57"/>
      <c r="M1527" s="57"/>
      <c r="N1527" s="57"/>
      <c r="O1527" s="57"/>
      <c r="P1527" s="57"/>
      <c r="Q1527" s="57"/>
    </row>
    <row r="1528">
      <c r="A1528" s="60" t="s">
        <v>489</v>
      </c>
      <c r="B1528" s="60" t="s">
        <v>549</v>
      </c>
      <c r="C1528" s="57"/>
      <c r="D1528" s="57"/>
      <c r="E1528" s="57"/>
      <c r="F1528" s="57"/>
      <c r="G1528" s="57"/>
      <c r="H1528" s="57"/>
      <c r="I1528" s="57"/>
      <c r="J1528" s="57"/>
      <c r="K1528" s="63"/>
      <c r="L1528" s="57"/>
      <c r="M1528" s="57"/>
      <c r="N1528" s="57"/>
      <c r="O1528" s="57"/>
      <c r="P1528" s="57"/>
      <c r="Q1528" s="57"/>
    </row>
    <row r="1529">
      <c r="A1529" s="60" t="s">
        <v>449</v>
      </c>
      <c r="B1529" s="60" t="s">
        <v>450</v>
      </c>
      <c r="C1529" s="57"/>
      <c r="D1529" s="57"/>
      <c r="E1529" s="57"/>
      <c r="F1529" s="57"/>
      <c r="G1529" s="57"/>
      <c r="H1529" s="57"/>
      <c r="I1529" s="57"/>
      <c r="J1529" s="57"/>
      <c r="K1529" s="63"/>
      <c r="L1529" s="57"/>
      <c r="M1529" s="57"/>
      <c r="N1529" s="57"/>
      <c r="O1529" s="57"/>
      <c r="P1529" s="57"/>
      <c r="Q1529" s="57"/>
    </row>
    <row r="1530">
      <c r="A1530" s="68" t="s">
        <v>319</v>
      </c>
      <c r="B1530" s="60" t="s">
        <v>535</v>
      </c>
      <c r="C1530" s="57"/>
      <c r="D1530" s="57"/>
      <c r="E1530" s="57"/>
      <c r="F1530" s="57"/>
      <c r="G1530" s="57"/>
      <c r="H1530" s="57"/>
      <c r="I1530" s="57"/>
      <c r="J1530" s="57"/>
      <c r="K1530" s="63"/>
      <c r="L1530" s="57"/>
      <c r="M1530" s="57"/>
      <c r="N1530" s="57"/>
      <c r="O1530" s="57"/>
      <c r="P1530" s="57"/>
      <c r="Q1530" s="57"/>
    </row>
    <row r="1531">
      <c r="A1531" s="60" t="s">
        <v>38</v>
      </c>
      <c r="B1531" s="26"/>
      <c r="C1531" s="57"/>
      <c r="D1531" s="57"/>
      <c r="E1531" s="65">
        <v>109.0</v>
      </c>
      <c r="F1531" s="57">
        <f t="shared" ref="F1531:F1533" si="619">ROUNDDOWN(E1531*1.1,0)</f>
        <v>119</v>
      </c>
      <c r="G1531" s="57">
        <f t="shared" ref="G1531:G1533" si="620">ROUNDDOWN(E1531*1.21,0)</f>
        <v>131</v>
      </c>
      <c r="H1531" s="57">
        <f t="shared" ref="H1531:H1533" si="621">ROUNDDOWN(E1531*1.33,0)</f>
        <v>144</v>
      </c>
      <c r="I1531" s="57">
        <f t="shared" ref="I1531:I1533" si="622">ROUNDDOWN(E1531*1.46,0)</f>
        <v>159</v>
      </c>
      <c r="J1531" s="57">
        <f t="shared" ref="J1531:J1533" si="623">ROUNDDOWN(E1531*1.6,0)</f>
        <v>174</v>
      </c>
      <c r="K1531" s="63">
        <f t="shared" ref="K1531:K1533" si="624">ROUNDDOWN(E1531*1.76,0)</f>
        <v>191</v>
      </c>
      <c r="L1531" s="57">
        <f t="shared" ref="L1531:L1533" si="625">ROUNDDOWN(E1531*1.93,0)</f>
        <v>210</v>
      </c>
      <c r="M1531" s="57">
        <f t="shared" ref="M1531:M1533" si="626">ROUNDDOWN(E1531*2.12,0)</f>
        <v>231</v>
      </c>
      <c r="N1531" s="57">
        <f t="shared" ref="N1531:N1533" si="627">ROUNDDOWN(E1531*2.33,0)</f>
        <v>253</v>
      </c>
      <c r="O1531" s="57">
        <f t="shared" ref="O1531:O1533" si="628">ROUNDDOWN(E1531*2.56,0)</f>
        <v>279</v>
      </c>
      <c r="P1531" s="57">
        <f t="shared" ref="P1531:P1533" si="629">ROUNDDOWN(E1531*2.81,0)</f>
        <v>306</v>
      </c>
      <c r="Q1531" s="57"/>
    </row>
    <row r="1532">
      <c r="A1532" s="60" t="s">
        <v>24</v>
      </c>
      <c r="B1532" s="26"/>
      <c r="C1532" s="57"/>
      <c r="D1532" s="57"/>
      <c r="E1532" s="65">
        <v>52.0</v>
      </c>
      <c r="F1532" s="57">
        <f t="shared" si="619"/>
        <v>57</v>
      </c>
      <c r="G1532" s="57">
        <f t="shared" si="620"/>
        <v>62</v>
      </c>
      <c r="H1532" s="57">
        <f t="shared" si="621"/>
        <v>69</v>
      </c>
      <c r="I1532" s="57">
        <f t="shared" si="622"/>
        <v>75</v>
      </c>
      <c r="J1532" s="57">
        <f t="shared" si="623"/>
        <v>83</v>
      </c>
      <c r="K1532" s="63">
        <f t="shared" si="624"/>
        <v>91</v>
      </c>
      <c r="L1532" s="57">
        <f t="shared" si="625"/>
        <v>100</v>
      </c>
      <c r="M1532" s="57">
        <f t="shared" si="626"/>
        <v>110</v>
      </c>
      <c r="N1532" s="57">
        <f t="shared" si="627"/>
        <v>121</v>
      </c>
      <c r="O1532" s="57">
        <f t="shared" si="628"/>
        <v>133</v>
      </c>
      <c r="P1532" s="57">
        <f t="shared" si="629"/>
        <v>146</v>
      </c>
      <c r="Q1532" s="57"/>
    </row>
    <row r="1533">
      <c r="A1533" s="60" t="s">
        <v>839</v>
      </c>
      <c r="B1533" s="26"/>
      <c r="C1533" s="57"/>
      <c r="D1533" s="57"/>
      <c r="E1533" s="65">
        <v>189.0</v>
      </c>
      <c r="F1533" s="57">
        <f t="shared" si="619"/>
        <v>207</v>
      </c>
      <c r="G1533" s="57">
        <f t="shared" si="620"/>
        <v>228</v>
      </c>
      <c r="H1533" s="57">
        <f t="shared" si="621"/>
        <v>251</v>
      </c>
      <c r="I1533" s="57">
        <f t="shared" si="622"/>
        <v>275</v>
      </c>
      <c r="J1533" s="57">
        <f t="shared" si="623"/>
        <v>302</v>
      </c>
      <c r="K1533" s="63">
        <f t="shared" si="624"/>
        <v>332</v>
      </c>
      <c r="L1533" s="57">
        <f t="shared" si="625"/>
        <v>364</v>
      </c>
      <c r="M1533" s="57">
        <f t="shared" si="626"/>
        <v>400</v>
      </c>
      <c r="N1533" s="57">
        <f t="shared" si="627"/>
        <v>440</v>
      </c>
      <c r="O1533" s="57">
        <f t="shared" si="628"/>
        <v>483</v>
      </c>
      <c r="P1533" s="57">
        <f t="shared" si="629"/>
        <v>531</v>
      </c>
      <c r="Q1533" s="57"/>
    </row>
    <row r="1534">
      <c r="A1534" s="60" t="s">
        <v>428</v>
      </c>
      <c r="B1534" s="60" t="s">
        <v>429</v>
      </c>
      <c r="C1534" s="57"/>
      <c r="D1534" s="57"/>
      <c r="E1534" s="57"/>
      <c r="F1534" s="57"/>
      <c r="G1534" s="57"/>
      <c r="H1534" s="57"/>
      <c r="I1534" s="57"/>
      <c r="J1534" s="57"/>
      <c r="K1534" s="63"/>
      <c r="L1534" s="57"/>
      <c r="M1534" s="57"/>
      <c r="N1534" s="57"/>
      <c r="O1534" s="57"/>
      <c r="P1534" s="57"/>
      <c r="Q1534" s="57"/>
    </row>
    <row r="1535">
      <c r="A1535" s="60" t="s">
        <v>55</v>
      </c>
      <c r="B1535" s="60" t="s">
        <v>430</v>
      </c>
      <c r="C1535" s="57"/>
      <c r="D1535" s="57"/>
      <c r="E1535" s="57"/>
      <c r="F1535" s="57"/>
      <c r="G1535" s="57"/>
      <c r="H1535" s="57"/>
      <c r="I1535" s="57"/>
      <c r="J1535" s="57"/>
      <c r="K1535" s="63"/>
      <c r="L1535" s="57"/>
      <c r="M1535" s="57"/>
      <c r="N1535" s="57"/>
      <c r="O1535" s="57"/>
      <c r="P1535" s="57"/>
      <c r="Q1535" s="57"/>
    </row>
    <row r="1536">
      <c r="A1536" s="60" t="s">
        <v>51</v>
      </c>
      <c r="B1536" s="60" t="s">
        <v>482</v>
      </c>
      <c r="C1536" s="57"/>
      <c r="D1536" s="57"/>
      <c r="E1536" s="57"/>
      <c r="F1536" s="57"/>
      <c r="G1536" s="57"/>
      <c r="H1536" s="57"/>
      <c r="I1536" s="57"/>
      <c r="J1536" s="57"/>
      <c r="K1536" s="63"/>
      <c r="L1536" s="57"/>
      <c r="M1536" s="57"/>
      <c r="N1536" s="57"/>
      <c r="O1536" s="57"/>
      <c r="P1536" s="57"/>
      <c r="Q1536" s="57"/>
    </row>
    <row r="1537">
      <c r="A1537" s="60" t="s">
        <v>49</v>
      </c>
      <c r="B1537" s="60" t="s">
        <v>466</v>
      </c>
      <c r="C1537" s="57"/>
      <c r="D1537" s="57"/>
      <c r="E1537" s="57"/>
      <c r="F1537" s="57"/>
      <c r="G1537" s="57"/>
      <c r="H1537" s="57"/>
      <c r="I1537" s="57"/>
      <c r="J1537" s="57"/>
      <c r="K1537" s="63"/>
      <c r="L1537" s="57"/>
      <c r="M1537" s="57"/>
      <c r="N1537" s="57"/>
      <c r="O1537" s="57"/>
      <c r="P1537" s="57"/>
      <c r="Q1537" s="57"/>
    </row>
    <row r="1538">
      <c r="A1538" s="60" t="s">
        <v>432</v>
      </c>
      <c r="B1538" s="60" t="s">
        <v>450</v>
      </c>
      <c r="C1538" s="57"/>
      <c r="D1538" s="57"/>
      <c r="E1538" s="57"/>
      <c r="F1538" s="57"/>
      <c r="G1538" s="57"/>
      <c r="H1538" s="57"/>
      <c r="I1538" s="57"/>
      <c r="J1538" s="57"/>
      <c r="K1538" s="63"/>
      <c r="L1538" s="57"/>
      <c r="M1538" s="57"/>
      <c r="N1538" s="57"/>
      <c r="O1538" s="57"/>
      <c r="P1538" s="57"/>
      <c r="Q1538" s="57"/>
    </row>
    <row r="1539">
      <c r="A1539" s="60" t="s">
        <v>422</v>
      </c>
      <c r="B1539" s="60" t="s">
        <v>517</v>
      </c>
      <c r="C1539" s="57"/>
      <c r="D1539" s="57"/>
      <c r="E1539" s="57"/>
      <c r="F1539" s="57"/>
      <c r="G1539" s="57"/>
      <c r="H1539" s="57"/>
      <c r="I1539" s="57"/>
      <c r="J1539" s="57"/>
      <c r="K1539" s="63"/>
      <c r="L1539" s="57"/>
      <c r="M1539" s="57"/>
      <c r="N1539" s="57"/>
      <c r="O1539" s="57"/>
      <c r="P1539" s="57"/>
      <c r="Q1539" s="57"/>
    </row>
    <row r="1540">
      <c r="A1540" s="60" t="s">
        <v>435</v>
      </c>
      <c r="B1540" s="60" t="s">
        <v>436</v>
      </c>
      <c r="C1540" s="57"/>
      <c r="D1540" s="57"/>
      <c r="E1540" s="57"/>
      <c r="F1540" s="57"/>
      <c r="G1540" s="57"/>
      <c r="H1540" s="57"/>
      <c r="I1540" s="57"/>
      <c r="J1540" s="57"/>
      <c r="K1540" s="63"/>
      <c r="L1540" s="57"/>
      <c r="M1540" s="57"/>
      <c r="N1540" s="57"/>
      <c r="O1540" s="57"/>
      <c r="P1540" s="57"/>
      <c r="Q1540" s="57"/>
    </row>
    <row r="1541">
      <c r="A1541" s="60" t="s">
        <v>483</v>
      </c>
      <c r="B1541" s="60" t="s">
        <v>443</v>
      </c>
      <c r="C1541" s="57"/>
      <c r="D1541" s="57"/>
      <c r="E1541" s="57"/>
      <c r="F1541" s="57"/>
      <c r="G1541" s="57"/>
      <c r="H1541" s="57"/>
      <c r="I1541" s="57"/>
      <c r="J1541" s="57"/>
      <c r="K1541" s="63"/>
      <c r="L1541" s="57"/>
      <c r="M1541" s="57"/>
      <c r="N1541" s="57"/>
      <c r="O1541" s="57"/>
      <c r="P1541" s="57"/>
      <c r="Q1541" s="57"/>
    </row>
    <row r="1542">
      <c r="A1542" s="60" t="s">
        <v>426</v>
      </c>
      <c r="B1542" s="60" t="s">
        <v>485</v>
      </c>
      <c r="C1542" s="57"/>
      <c r="D1542" s="57"/>
      <c r="E1542" s="57"/>
      <c r="F1542" s="57"/>
      <c r="G1542" s="57"/>
      <c r="H1542" s="57"/>
      <c r="I1542" s="57"/>
      <c r="J1542" s="57"/>
      <c r="K1542" s="63"/>
      <c r="L1542" s="57"/>
      <c r="M1542" s="57"/>
      <c r="N1542" s="57"/>
      <c r="O1542" s="57"/>
      <c r="P1542" s="57"/>
      <c r="Q1542" s="57"/>
    </row>
    <row r="1543">
      <c r="A1543" s="60" t="s">
        <v>840</v>
      </c>
      <c r="B1543" s="60" t="s">
        <v>430</v>
      </c>
      <c r="C1543" s="57"/>
      <c r="D1543" s="57"/>
      <c r="E1543" s="57"/>
      <c r="F1543" s="57"/>
      <c r="G1543" s="57"/>
      <c r="H1543" s="57"/>
      <c r="I1543" s="57"/>
      <c r="J1543" s="57"/>
      <c r="K1543" s="63"/>
      <c r="L1543" s="57"/>
      <c r="M1543" s="57"/>
      <c r="N1543" s="57"/>
      <c r="O1543" s="57"/>
      <c r="P1543" s="57"/>
      <c r="Q1543" s="57"/>
    </row>
    <row r="1544">
      <c r="A1544" s="60" t="s">
        <v>841</v>
      </c>
      <c r="B1544" s="60" t="s">
        <v>462</v>
      </c>
      <c r="C1544" s="57"/>
      <c r="D1544" s="57"/>
      <c r="E1544" s="57"/>
      <c r="F1544" s="57"/>
      <c r="G1544" s="57"/>
      <c r="H1544" s="57"/>
      <c r="I1544" s="57"/>
      <c r="J1544" s="57"/>
      <c r="K1544" s="63"/>
      <c r="L1544" s="57"/>
      <c r="M1544" s="57"/>
      <c r="N1544" s="57"/>
      <c r="O1544" s="57"/>
      <c r="P1544" s="57"/>
      <c r="Q1544" s="57"/>
    </row>
    <row r="1545">
      <c r="A1545" s="60" t="s">
        <v>842</v>
      </c>
      <c r="B1545" s="60" t="s">
        <v>843</v>
      </c>
      <c r="C1545" s="57"/>
      <c r="D1545" s="57"/>
      <c r="E1545" s="57"/>
      <c r="F1545" s="57"/>
      <c r="G1545" s="57"/>
      <c r="H1545" s="57"/>
      <c r="I1545" s="57"/>
      <c r="J1545" s="57"/>
      <c r="K1545" s="63"/>
      <c r="L1545" s="57"/>
      <c r="M1545" s="57"/>
      <c r="N1545" s="57"/>
      <c r="O1545" s="57"/>
      <c r="P1545" s="57"/>
      <c r="Q1545" s="57"/>
    </row>
    <row r="1546">
      <c r="A1546" s="60" t="s">
        <v>844</v>
      </c>
      <c r="B1546" s="60" t="s">
        <v>845</v>
      </c>
      <c r="C1546" s="57"/>
      <c r="D1546" s="57"/>
      <c r="E1546" s="57"/>
      <c r="F1546" s="57"/>
      <c r="G1546" s="57"/>
      <c r="H1546" s="57"/>
      <c r="I1546" s="57"/>
      <c r="J1546" s="57"/>
      <c r="K1546" s="63"/>
      <c r="L1546" s="57"/>
      <c r="M1546" s="57"/>
      <c r="N1546" s="57"/>
      <c r="O1546" s="57"/>
      <c r="P1546" s="57"/>
      <c r="Q1546" s="57"/>
    </row>
    <row r="1547">
      <c r="A1547" s="60" t="s">
        <v>846</v>
      </c>
      <c r="B1547" s="60" t="s">
        <v>430</v>
      </c>
      <c r="C1547" s="57"/>
      <c r="D1547" s="57"/>
      <c r="E1547" s="57"/>
      <c r="F1547" s="57"/>
      <c r="G1547" s="57"/>
      <c r="H1547" s="57"/>
      <c r="I1547" s="57"/>
      <c r="J1547" s="57"/>
      <c r="K1547" s="63"/>
      <c r="L1547" s="57"/>
      <c r="M1547" s="57"/>
      <c r="N1547" s="57"/>
      <c r="O1547" s="57"/>
      <c r="P1547" s="57"/>
      <c r="Q1547" s="57"/>
    </row>
    <row r="1548">
      <c r="A1548" s="60" t="s">
        <v>53</v>
      </c>
      <c r="B1548" s="60" t="s">
        <v>462</v>
      </c>
      <c r="C1548" s="57"/>
      <c r="D1548" s="57"/>
      <c r="E1548" s="57"/>
      <c r="F1548" s="57"/>
      <c r="G1548" s="57"/>
      <c r="H1548" s="57"/>
      <c r="I1548" s="57"/>
      <c r="J1548" s="57"/>
      <c r="K1548" s="63"/>
      <c r="L1548" s="57"/>
      <c r="M1548" s="57"/>
      <c r="N1548" s="57"/>
      <c r="O1548" s="57"/>
      <c r="P1548" s="57"/>
      <c r="Q1548" s="57"/>
    </row>
    <row r="1549">
      <c r="A1549" s="60" t="s">
        <v>50</v>
      </c>
      <c r="B1549" s="60" t="s">
        <v>425</v>
      </c>
      <c r="C1549" s="57"/>
      <c r="D1549" s="57"/>
      <c r="E1549" s="57"/>
      <c r="F1549" s="57"/>
      <c r="G1549" s="57"/>
      <c r="H1549" s="57"/>
      <c r="I1549" s="57"/>
      <c r="J1549" s="57"/>
      <c r="K1549" s="63"/>
      <c r="L1549" s="57"/>
      <c r="M1549" s="57"/>
      <c r="N1549" s="57"/>
      <c r="O1549" s="57"/>
      <c r="P1549" s="57"/>
      <c r="Q1549" s="57"/>
    </row>
    <row r="1550">
      <c r="A1550" s="60" t="s">
        <v>439</v>
      </c>
      <c r="B1550" s="60" t="s">
        <v>487</v>
      </c>
      <c r="C1550" s="57"/>
      <c r="D1550" s="57"/>
      <c r="E1550" s="57"/>
      <c r="F1550" s="57"/>
      <c r="G1550" s="57"/>
      <c r="H1550" s="57"/>
      <c r="I1550" s="57"/>
      <c r="J1550" s="57"/>
      <c r="K1550" s="63"/>
      <c r="L1550" s="57"/>
      <c r="M1550" s="57"/>
      <c r="N1550" s="57"/>
      <c r="O1550" s="57"/>
      <c r="P1550" s="57"/>
      <c r="Q1550" s="57"/>
    </row>
    <row r="1551">
      <c r="A1551" s="60" t="s">
        <v>441</v>
      </c>
      <c r="B1551" s="60">
        <v>1.0</v>
      </c>
      <c r="C1551" s="57"/>
      <c r="D1551" s="57"/>
      <c r="E1551" s="57"/>
      <c r="F1551" s="57"/>
      <c r="G1551" s="57"/>
      <c r="H1551" s="57"/>
      <c r="I1551" s="57"/>
      <c r="J1551" s="57"/>
      <c r="K1551" s="63"/>
      <c r="L1551" s="57"/>
      <c r="M1551" s="57"/>
      <c r="N1551" s="57"/>
      <c r="O1551" s="57"/>
      <c r="P1551" s="57"/>
      <c r="Q1551" s="57"/>
    </row>
    <row r="1552">
      <c r="A1552" s="60" t="s">
        <v>467</v>
      </c>
      <c r="B1552" s="60" t="s">
        <v>494</v>
      </c>
      <c r="C1552" s="57"/>
      <c r="D1552" s="57"/>
      <c r="E1552" s="57"/>
      <c r="F1552" s="57"/>
      <c r="G1552" s="57"/>
      <c r="H1552" s="57"/>
      <c r="I1552" s="57"/>
      <c r="J1552" s="57"/>
      <c r="K1552" s="63"/>
      <c r="L1552" s="57"/>
      <c r="M1552" s="57"/>
      <c r="N1552" s="57"/>
      <c r="O1552" s="57"/>
      <c r="P1552" s="57"/>
      <c r="Q1552" s="57"/>
    </row>
    <row r="1553">
      <c r="A1553" s="60" t="s">
        <v>488</v>
      </c>
      <c r="B1553" s="60" t="s">
        <v>436</v>
      </c>
      <c r="C1553" s="57"/>
      <c r="D1553" s="57"/>
      <c r="E1553" s="57"/>
      <c r="F1553" s="57"/>
      <c r="G1553" s="57"/>
      <c r="H1553" s="57"/>
      <c r="I1553" s="57"/>
      <c r="J1553" s="57"/>
      <c r="K1553" s="63"/>
      <c r="L1553" s="57"/>
      <c r="M1553" s="57"/>
      <c r="N1553" s="57"/>
      <c r="O1553" s="57"/>
      <c r="P1553" s="57"/>
      <c r="Q1553" s="57"/>
    </row>
    <row r="1554">
      <c r="A1554" s="60" t="s">
        <v>447</v>
      </c>
      <c r="B1554" s="60" t="s">
        <v>448</v>
      </c>
      <c r="C1554" s="57"/>
      <c r="D1554" s="57"/>
      <c r="E1554" s="57"/>
      <c r="F1554" s="57"/>
      <c r="G1554" s="57"/>
      <c r="H1554" s="57"/>
      <c r="I1554" s="57"/>
      <c r="J1554" s="57"/>
      <c r="K1554" s="63"/>
      <c r="L1554" s="57"/>
      <c r="M1554" s="57"/>
      <c r="N1554" s="57"/>
      <c r="O1554" s="57"/>
      <c r="P1554" s="57"/>
      <c r="Q1554" s="57"/>
    </row>
    <row r="1555">
      <c r="A1555" s="68" t="s">
        <v>306</v>
      </c>
      <c r="B1555" s="60" t="s">
        <v>459</v>
      </c>
      <c r="C1555" s="57"/>
      <c r="D1555" s="57"/>
      <c r="E1555" s="57"/>
      <c r="F1555" s="57"/>
      <c r="G1555" s="57"/>
      <c r="H1555" s="57"/>
      <c r="I1555" s="57"/>
      <c r="J1555" s="57"/>
      <c r="K1555" s="63"/>
      <c r="L1555" s="57"/>
      <c r="M1555" s="57"/>
      <c r="N1555" s="57"/>
      <c r="O1555" s="57"/>
      <c r="P1555" s="57"/>
      <c r="Q1555" s="57"/>
    </row>
    <row r="1556">
      <c r="A1556" s="60" t="s">
        <v>38</v>
      </c>
      <c r="B1556" s="26"/>
      <c r="C1556" s="57"/>
      <c r="D1556" s="57"/>
      <c r="E1556" s="65">
        <v>640.0</v>
      </c>
      <c r="F1556" s="57">
        <f t="shared" ref="F1556:F1558" si="630">ROUNDDOWN(E1556*1.1,0)</f>
        <v>704</v>
      </c>
      <c r="G1556" s="57">
        <f t="shared" ref="G1556:G1558" si="631">ROUNDDOWN(E1556*1.21,0)</f>
        <v>774</v>
      </c>
      <c r="H1556" s="57">
        <f t="shared" ref="H1556:H1558" si="632">ROUNDDOWN(E1556*1.33,0)</f>
        <v>851</v>
      </c>
      <c r="I1556" s="57">
        <f t="shared" ref="I1556:I1558" si="633">ROUNDDOWN(E1556*1.46,0)</f>
        <v>934</v>
      </c>
      <c r="J1556" s="57">
        <f t="shared" ref="J1556:J1558" si="634">ROUNDDOWN(E1556*1.6,0)</f>
        <v>1024</v>
      </c>
      <c r="K1556" s="63">
        <f t="shared" ref="K1556:K1558" si="635">ROUNDDOWN(E1556*1.76,0)</f>
        <v>1126</v>
      </c>
      <c r="L1556" s="57">
        <f t="shared" ref="L1556:L1558" si="636">ROUNDDOWN(E1556*1.93,0)</f>
        <v>1235</v>
      </c>
      <c r="M1556" s="57">
        <f t="shared" ref="M1556:M1558" si="637">ROUNDDOWN(E1556*2.12,0)</f>
        <v>1356</v>
      </c>
      <c r="N1556" s="57">
        <f t="shared" ref="N1556:N1558" si="638">ROUNDDOWN(E1556*2.33,0)</f>
        <v>1491</v>
      </c>
      <c r="O1556" s="57">
        <f t="shared" ref="O1556:O1558" si="639">ROUNDDOWN(E1556*2.56,0)</f>
        <v>1638</v>
      </c>
      <c r="P1556" s="57">
        <f t="shared" ref="P1556:P1558" si="640">ROUNDDOWN(E1556*2.81,0)</f>
        <v>1798</v>
      </c>
      <c r="Q1556" s="57"/>
    </row>
    <row r="1557">
      <c r="A1557" s="60" t="s">
        <v>24</v>
      </c>
      <c r="B1557" s="60"/>
      <c r="C1557" s="57"/>
      <c r="D1557" s="57"/>
      <c r="E1557" s="65">
        <v>105.0</v>
      </c>
      <c r="F1557" s="57">
        <f t="shared" si="630"/>
        <v>115</v>
      </c>
      <c r="G1557" s="57">
        <f t="shared" si="631"/>
        <v>127</v>
      </c>
      <c r="H1557" s="57">
        <f t="shared" si="632"/>
        <v>139</v>
      </c>
      <c r="I1557" s="57">
        <f t="shared" si="633"/>
        <v>153</v>
      </c>
      <c r="J1557" s="57">
        <f t="shared" si="634"/>
        <v>168</v>
      </c>
      <c r="K1557" s="63">
        <f t="shared" si="635"/>
        <v>184</v>
      </c>
      <c r="L1557" s="57">
        <f t="shared" si="636"/>
        <v>202</v>
      </c>
      <c r="M1557" s="57">
        <f t="shared" si="637"/>
        <v>222</v>
      </c>
      <c r="N1557" s="57">
        <f t="shared" si="638"/>
        <v>244</v>
      </c>
      <c r="O1557" s="57">
        <f t="shared" si="639"/>
        <v>268</v>
      </c>
      <c r="P1557" s="57">
        <f t="shared" si="640"/>
        <v>295</v>
      </c>
      <c r="Q1557" s="57"/>
    </row>
    <row r="1558">
      <c r="A1558" s="60" t="s">
        <v>30</v>
      </c>
      <c r="B1558" s="60"/>
      <c r="C1558" s="57"/>
      <c r="D1558" s="57"/>
      <c r="E1558" s="65">
        <v>105.0</v>
      </c>
      <c r="F1558" s="57">
        <f t="shared" si="630"/>
        <v>115</v>
      </c>
      <c r="G1558" s="57">
        <f t="shared" si="631"/>
        <v>127</v>
      </c>
      <c r="H1558" s="57">
        <f t="shared" si="632"/>
        <v>139</v>
      </c>
      <c r="I1558" s="57">
        <f t="shared" si="633"/>
        <v>153</v>
      </c>
      <c r="J1558" s="57">
        <f t="shared" si="634"/>
        <v>168</v>
      </c>
      <c r="K1558" s="63">
        <f t="shared" si="635"/>
        <v>184</v>
      </c>
      <c r="L1558" s="57">
        <f t="shared" si="636"/>
        <v>202</v>
      </c>
      <c r="M1558" s="57">
        <f t="shared" si="637"/>
        <v>222</v>
      </c>
      <c r="N1558" s="57">
        <f t="shared" si="638"/>
        <v>244</v>
      </c>
      <c r="O1558" s="57">
        <f t="shared" si="639"/>
        <v>268</v>
      </c>
      <c r="P1558" s="57">
        <f t="shared" si="640"/>
        <v>295</v>
      </c>
      <c r="Q1558" s="57"/>
    </row>
    <row r="1559">
      <c r="A1559" s="60" t="s">
        <v>428</v>
      </c>
      <c r="B1559" s="60" t="s">
        <v>465</v>
      </c>
      <c r="C1559" s="57"/>
      <c r="D1559" s="57"/>
      <c r="E1559" s="57"/>
      <c r="F1559" s="57"/>
      <c r="G1559" s="57"/>
      <c r="H1559" s="57"/>
      <c r="I1559" s="57"/>
      <c r="J1559" s="57"/>
      <c r="K1559" s="63"/>
      <c r="L1559" s="57"/>
      <c r="M1559" s="57"/>
      <c r="N1559" s="57"/>
      <c r="O1559" s="57"/>
      <c r="P1559" s="57"/>
      <c r="Q1559" s="57"/>
    </row>
    <row r="1560">
      <c r="A1560" s="60" t="s">
        <v>55</v>
      </c>
      <c r="B1560" s="60" t="s">
        <v>430</v>
      </c>
      <c r="C1560" s="57"/>
      <c r="D1560" s="57"/>
      <c r="E1560" s="57"/>
      <c r="F1560" s="57"/>
      <c r="G1560" s="57"/>
      <c r="H1560" s="57"/>
      <c r="I1560" s="57"/>
      <c r="J1560" s="57"/>
      <c r="K1560" s="63"/>
      <c r="L1560" s="57"/>
      <c r="M1560" s="57"/>
      <c r="N1560" s="57"/>
      <c r="O1560" s="57"/>
      <c r="P1560" s="57"/>
      <c r="Q1560" s="57"/>
    </row>
    <row r="1561">
      <c r="A1561" s="60" t="s">
        <v>49</v>
      </c>
      <c r="B1561" s="60" t="s">
        <v>513</v>
      </c>
      <c r="C1561" s="57"/>
      <c r="D1561" s="57"/>
      <c r="E1561" s="57"/>
      <c r="F1561" s="57"/>
      <c r="G1561" s="57"/>
      <c r="H1561" s="57"/>
      <c r="I1561" s="57"/>
      <c r="J1561" s="57"/>
      <c r="K1561" s="63"/>
      <c r="L1561" s="57"/>
      <c r="M1561" s="57"/>
      <c r="N1561" s="57"/>
      <c r="O1561" s="57"/>
      <c r="P1561" s="57"/>
      <c r="Q1561" s="57"/>
    </row>
    <row r="1562">
      <c r="A1562" s="60" t="s">
        <v>432</v>
      </c>
      <c r="B1562" s="60" t="s">
        <v>453</v>
      </c>
      <c r="C1562" s="57"/>
      <c r="D1562" s="57"/>
      <c r="E1562" s="57"/>
      <c r="F1562" s="57"/>
      <c r="G1562" s="57"/>
      <c r="H1562" s="57"/>
      <c r="I1562" s="57"/>
      <c r="J1562" s="57"/>
      <c r="K1562" s="63"/>
      <c r="L1562" s="57"/>
      <c r="M1562" s="57"/>
      <c r="N1562" s="57"/>
      <c r="O1562" s="57"/>
      <c r="P1562" s="57"/>
      <c r="Q1562" s="57"/>
    </row>
    <row r="1563">
      <c r="A1563" s="60" t="s">
        <v>422</v>
      </c>
      <c r="B1563" s="60" t="s">
        <v>496</v>
      </c>
      <c r="C1563" s="57"/>
      <c r="D1563" s="57"/>
      <c r="E1563" s="57"/>
      <c r="F1563" s="57"/>
      <c r="G1563" s="57"/>
      <c r="H1563" s="57"/>
      <c r="I1563" s="57"/>
      <c r="J1563" s="57"/>
      <c r="K1563" s="63"/>
      <c r="L1563" s="57"/>
      <c r="M1563" s="57"/>
      <c r="N1563" s="57"/>
      <c r="O1563" s="57"/>
      <c r="P1563" s="57"/>
      <c r="Q1563" s="57"/>
    </row>
    <row r="1564">
      <c r="A1564" s="60" t="s">
        <v>435</v>
      </c>
      <c r="B1564" s="60" t="s">
        <v>472</v>
      </c>
      <c r="C1564" s="57"/>
      <c r="D1564" s="57"/>
      <c r="E1564" s="57"/>
      <c r="F1564" s="57"/>
      <c r="G1564" s="57"/>
      <c r="H1564" s="57"/>
      <c r="I1564" s="57"/>
      <c r="J1564" s="57"/>
      <c r="K1564" s="63"/>
      <c r="L1564" s="57"/>
      <c r="M1564" s="57"/>
      <c r="N1564" s="57"/>
      <c r="O1564" s="57"/>
      <c r="P1564" s="57"/>
      <c r="Q1564" s="57"/>
    </row>
    <row r="1565">
      <c r="A1565" s="60" t="s">
        <v>483</v>
      </c>
      <c r="B1565" s="60" t="s">
        <v>443</v>
      </c>
      <c r="C1565" s="57"/>
      <c r="D1565" s="57"/>
      <c r="E1565" s="57"/>
      <c r="F1565" s="57"/>
      <c r="G1565" s="57"/>
      <c r="H1565" s="57"/>
      <c r="I1565" s="57"/>
      <c r="J1565" s="57"/>
      <c r="K1565" s="63"/>
      <c r="L1565" s="57"/>
      <c r="M1565" s="57"/>
      <c r="N1565" s="57"/>
      <c r="O1565" s="57"/>
      <c r="P1565" s="57"/>
      <c r="Q1565" s="57"/>
    </row>
    <row r="1566">
      <c r="A1566" s="60" t="s">
        <v>426</v>
      </c>
      <c r="B1566" s="60" t="s">
        <v>534</v>
      </c>
      <c r="C1566" s="57"/>
      <c r="D1566" s="57"/>
      <c r="E1566" s="57"/>
      <c r="F1566" s="57"/>
      <c r="G1566" s="57"/>
      <c r="H1566" s="57"/>
      <c r="I1566" s="57"/>
      <c r="J1566" s="57"/>
      <c r="K1566" s="63"/>
      <c r="L1566" s="57"/>
      <c r="M1566" s="57"/>
      <c r="N1566" s="57"/>
      <c r="O1566" s="57"/>
      <c r="P1566" s="57"/>
      <c r="Q1566" s="57"/>
    </row>
    <row r="1567">
      <c r="A1567" s="60" t="s">
        <v>53</v>
      </c>
      <c r="B1567" s="60" t="s">
        <v>465</v>
      </c>
      <c r="C1567" s="57"/>
      <c r="D1567" s="57"/>
      <c r="E1567" s="57"/>
      <c r="F1567" s="57"/>
      <c r="G1567" s="57"/>
      <c r="H1567" s="57"/>
      <c r="I1567" s="57"/>
      <c r="J1567" s="57"/>
      <c r="K1567" s="63"/>
      <c r="L1567" s="57"/>
      <c r="M1567" s="57"/>
      <c r="N1567" s="57"/>
      <c r="O1567" s="57"/>
      <c r="P1567" s="57"/>
      <c r="Q1567" s="57"/>
    </row>
    <row r="1568">
      <c r="A1568" s="60" t="s">
        <v>50</v>
      </c>
      <c r="B1568" s="60" t="s">
        <v>98</v>
      </c>
      <c r="C1568" s="57"/>
      <c r="D1568" s="57"/>
      <c r="E1568" s="57"/>
      <c r="F1568" s="57"/>
      <c r="G1568" s="57"/>
      <c r="H1568" s="57"/>
      <c r="I1568" s="57"/>
      <c r="J1568" s="57"/>
      <c r="K1568" s="63"/>
      <c r="L1568" s="57"/>
      <c r="M1568" s="57"/>
      <c r="N1568" s="57"/>
      <c r="O1568" s="57"/>
      <c r="P1568" s="57"/>
      <c r="Q1568" s="57"/>
    </row>
    <row r="1569">
      <c r="A1569" s="60" t="s">
        <v>56</v>
      </c>
      <c r="B1569" s="60" t="s">
        <v>847</v>
      </c>
      <c r="C1569" s="57"/>
      <c r="D1569" s="57"/>
      <c r="E1569" s="57"/>
      <c r="F1569" s="57"/>
      <c r="G1569" s="57"/>
      <c r="H1569" s="57"/>
      <c r="I1569" s="57"/>
      <c r="J1569" s="57"/>
      <c r="K1569" s="63"/>
      <c r="L1569" s="57"/>
      <c r="M1569" s="57"/>
      <c r="N1569" s="57"/>
      <c r="O1569" s="57"/>
      <c r="P1569" s="57"/>
      <c r="Q1569" s="57"/>
    </row>
    <row r="1570">
      <c r="A1570" s="60" t="s">
        <v>848</v>
      </c>
      <c r="B1570" s="60" t="s">
        <v>123</v>
      </c>
      <c r="C1570" s="57"/>
      <c r="D1570" s="57"/>
      <c r="E1570" s="57"/>
      <c r="F1570" s="57"/>
      <c r="G1570" s="57"/>
      <c r="H1570" s="57"/>
      <c r="I1570" s="57"/>
      <c r="J1570" s="57"/>
      <c r="K1570" s="63"/>
      <c r="L1570" s="57"/>
      <c r="M1570" s="57"/>
      <c r="N1570" s="57"/>
      <c r="O1570" s="57"/>
      <c r="P1570" s="57"/>
      <c r="Q1570" s="57"/>
    </row>
    <row r="1571">
      <c r="A1571" s="60" t="s">
        <v>849</v>
      </c>
      <c r="B1571" s="60" t="s">
        <v>850</v>
      </c>
      <c r="C1571" s="57"/>
      <c r="D1571" s="57"/>
      <c r="E1571" s="57"/>
      <c r="F1571" s="57"/>
      <c r="G1571" s="57"/>
      <c r="H1571" s="57"/>
      <c r="I1571" s="57"/>
      <c r="J1571" s="57"/>
      <c r="K1571" s="63"/>
      <c r="L1571" s="57"/>
      <c r="M1571" s="57"/>
      <c r="N1571" s="57"/>
      <c r="O1571" s="57"/>
      <c r="P1571" s="57"/>
      <c r="Q1571" s="57"/>
    </row>
    <row r="1572">
      <c r="A1572" s="60" t="s">
        <v>439</v>
      </c>
      <c r="B1572" s="60" t="s">
        <v>502</v>
      </c>
      <c r="C1572" s="57"/>
      <c r="D1572" s="57"/>
      <c r="E1572" s="57"/>
      <c r="F1572" s="57"/>
      <c r="G1572" s="57"/>
      <c r="H1572" s="57"/>
      <c r="I1572" s="57"/>
      <c r="J1572" s="57"/>
      <c r="K1572" s="63"/>
      <c r="L1572" s="57"/>
      <c r="M1572" s="57"/>
      <c r="N1572" s="57"/>
      <c r="O1572" s="57"/>
      <c r="P1572" s="57"/>
      <c r="Q1572" s="57"/>
    </row>
    <row r="1573">
      <c r="A1573" s="60" t="s">
        <v>446</v>
      </c>
      <c r="B1573" s="60" t="s">
        <v>851</v>
      </c>
      <c r="C1573" s="57"/>
      <c r="D1573" s="57"/>
      <c r="E1573" s="57"/>
      <c r="F1573" s="57"/>
      <c r="G1573" s="57"/>
      <c r="H1573" s="57"/>
      <c r="I1573" s="57"/>
      <c r="J1573" s="57"/>
      <c r="K1573" s="63"/>
      <c r="L1573" s="57"/>
      <c r="M1573" s="57"/>
      <c r="N1573" s="57"/>
      <c r="O1573" s="57"/>
      <c r="P1573" s="57"/>
      <c r="Q1573" s="57"/>
    </row>
    <row r="1574">
      <c r="A1574" s="60" t="s">
        <v>540</v>
      </c>
      <c r="B1574" s="60" t="s">
        <v>541</v>
      </c>
      <c r="C1574" s="57"/>
      <c r="D1574" s="57"/>
      <c r="E1574" s="57"/>
      <c r="F1574" s="57"/>
      <c r="G1574" s="57"/>
      <c r="H1574" s="57"/>
      <c r="I1574" s="57"/>
      <c r="J1574" s="57"/>
      <c r="K1574" s="63"/>
      <c r="L1574" s="57"/>
      <c r="M1574" s="57"/>
      <c r="N1574" s="57"/>
      <c r="O1574" s="57"/>
      <c r="P1574" s="57"/>
      <c r="Q1574" s="57"/>
    </row>
    <row r="1575">
      <c r="A1575" s="60" t="s">
        <v>542</v>
      </c>
      <c r="B1575" s="60" t="s">
        <v>425</v>
      </c>
      <c r="C1575" s="57"/>
      <c r="D1575" s="57"/>
      <c r="E1575" s="57"/>
      <c r="F1575" s="57"/>
      <c r="G1575" s="57"/>
      <c r="H1575" s="57"/>
      <c r="I1575" s="57"/>
      <c r="J1575" s="57"/>
      <c r="K1575" s="63"/>
      <c r="L1575" s="57"/>
      <c r="M1575" s="57"/>
      <c r="N1575" s="57"/>
      <c r="O1575" s="57"/>
      <c r="P1575" s="57"/>
      <c r="Q1575" s="57"/>
    </row>
    <row r="1576">
      <c r="A1576" s="60" t="s">
        <v>543</v>
      </c>
      <c r="B1576" s="60" t="s">
        <v>498</v>
      </c>
      <c r="C1576" s="57"/>
      <c r="D1576" s="57"/>
      <c r="E1576" s="57"/>
      <c r="F1576" s="57"/>
      <c r="G1576" s="57"/>
      <c r="H1576" s="57"/>
      <c r="I1576" s="57"/>
      <c r="J1576" s="57"/>
      <c r="K1576" s="63"/>
      <c r="L1576" s="57"/>
      <c r="M1576" s="57"/>
      <c r="N1576" s="57"/>
      <c r="O1576" s="57"/>
      <c r="P1576" s="57"/>
      <c r="Q1576" s="57"/>
    </row>
    <row r="1577">
      <c r="A1577" s="60" t="s">
        <v>545</v>
      </c>
      <c r="B1577" s="60" t="s">
        <v>445</v>
      </c>
      <c r="C1577" s="57"/>
      <c r="D1577" s="57"/>
      <c r="E1577" s="57"/>
      <c r="F1577" s="57"/>
      <c r="G1577" s="57"/>
      <c r="H1577" s="57"/>
      <c r="I1577" s="57"/>
      <c r="J1577" s="57"/>
      <c r="K1577" s="63"/>
      <c r="L1577" s="57"/>
      <c r="M1577" s="57"/>
      <c r="N1577" s="57"/>
      <c r="O1577" s="57"/>
      <c r="P1577" s="57"/>
      <c r="Q1577" s="57"/>
    </row>
    <row r="1578">
      <c r="A1578" s="76" t="s">
        <v>364</v>
      </c>
      <c r="B1578" s="60" t="s">
        <v>480</v>
      </c>
      <c r="C1578" s="57"/>
      <c r="D1578" s="57"/>
      <c r="E1578" s="57"/>
      <c r="F1578" s="57"/>
      <c r="G1578" s="57"/>
      <c r="H1578" s="57"/>
      <c r="I1578" s="57"/>
      <c r="J1578" s="57"/>
      <c r="K1578" s="63"/>
      <c r="L1578" s="57"/>
      <c r="M1578" s="57"/>
      <c r="N1578" s="57"/>
      <c r="O1578" s="57"/>
      <c r="P1578" s="57"/>
      <c r="Q1578" s="57"/>
    </row>
    <row r="1579">
      <c r="A1579" s="60" t="s">
        <v>62</v>
      </c>
      <c r="B1579" s="26"/>
      <c r="C1579" s="57"/>
      <c r="D1579" s="57"/>
      <c r="E1579" s="57"/>
      <c r="F1579" s="57"/>
      <c r="G1579" s="57"/>
      <c r="H1579" s="65" t="s">
        <v>852</v>
      </c>
      <c r="I1579" s="65" t="s">
        <v>853</v>
      </c>
      <c r="J1579" s="65" t="s">
        <v>547</v>
      </c>
      <c r="K1579" s="66" t="s">
        <v>721</v>
      </c>
      <c r="L1579" s="65" t="s">
        <v>644</v>
      </c>
      <c r="M1579" s="65" t="s">
        <v>711</v>
      </c>
      <c r="N1579" s="65" t="s">
        <v>722</v>
      </c>
      <c r="O1579" s="65" t="s">
        <v>723</v>
      </c>
      <c r="P1579" s="65" t="s">
        <v>724</v>
      </c>
      <c r="Q1579" s="57"/>
    </row>
    <row r="1580">
      <c r="A1580" s="60" t="s">
        <v>80</v>
      </c>
      <c r="B1580" s="60" t="s">
        <v>456</v>
      </c>
      <c r="C1580" s="57"/>
      <c r="D1580" s="57"/>
      <c r="E1580" s="57"/>
      <c r="F1580" s="57"/>
      <c r="G1580" s="57"/>
      <c r="H1580" s="57"/>
      <c r="I1580" s="57"/>
      <c r="J1580" s="57"/>
      <c r="K1580" s="63"/>
      <c r="L1580" s="57"/>
      <c r="M1580" s="57"/>
      <c r="N1580" s="57"/>
      <c r="O1580" s="57"/>
      <c r="P1580" s="57"/>
      <c r="Q1580" s="57"/>
    </row>
    <row r="1581">
      <c r="A1581" s="60" t="s">
        <v>772</v>
      </c>
      <c r="B1581" s="60" t="s">
        <v>466</v>
      </c>
      <c r="C1581" s="57"/>
      <c r="D1581" s="57"/>
      <c r="E1581" s="57"/>
      <c r="F1581" s="57"/>
      <c r="G1581" s="57"/>
      <c r="H1581" s="57"/>
      <c r="I1581" s="57"/>
      <c r="J1581" s="57"/>
      <c r="K1581" s="63"/>
      <c r="L1581" s="57"/>
      <c r="M1581" s="57"/>
      <c r="N1581" s="57"/>
      <c r="O1581" s="57"/>
      <c r="P1581" s="57"/>
      <c r="Q1581" s="57"/>
    </row>
    <row r="1582">
      <c r="A1582" s="60" t="s">
        <v>642</v>
      </c>
      <c r="B1582" s="60" t="s">
        <v>602</v>
      </c>
      <c r="C1582" s="57"/>
      <c r="D1582" s="57"/>
      <c r="E1582" s="57"/>
      <c r="F1582" s="57"/>
      <c r="G1582" s="57"/>
      <c r="H1582" s="57"/>
      <c r="I1582" s="57"/>
      <c r="J1582" s="57"/>
      <c r="K1582" s="63"/>
      <c r="L1582" s="57"/>
      <c r="M1582" s="57"/>
      <c r="N1582" s="57"/>
      <c r="O1582" s="57"/>
      <c r="P1582" s="57"/>
      <c r="Q1582" s="57"/>
    </row>
    <row r="1583">
      <c r="A1583" s="60" t="s">
        <v>68</v>
      </c>
      <c r="B1583" s="84" t="s">
        <v>366</v>
      </c>
      <c r="C1583" s="57"/>
      <c r="D1583" s="57"/>
      <c r="E1583" s="57"/>
      <c r="F1583" s="57"/>
      <c r="G1583" s="57"/>
      <c r="H1583" s="57"/>
      <c r="I1583" s="57"/>
      <c r="J1583" s="57"/>
      <c r="K1583" s="63"/>
      <c r="L1583" s="57"/>
      <c r="M1583" s="57"/>
      <c r="N1583" s="57"/>
      <c r="O1583" s="57"/>
      <c r="P1583" s="57"/>
      <c r="Q1583" s="57"/>
    </row>
    <row r="1584">
      <c r="A1584" s="60" t="s">
        <v>50</v>
      </c>
      <c r="B1584" s="60" t="s">
        <v>731</v>
      </c>
      <c r="C1584" s="57"/>
      <c r="D1584" s="57"/>
      <c r="E1584" s="57"/>
      <c r="F1584" s="57"/>
      <c r="G1584" s="57"/>
      <c r="H1584" s="57"/>
      <c r="I1584" s="57"/>
      <c r="J1584" s="57"/>
      <c r="K1584" s="63"/>
      <c r="L1584" s="57"/>
      <c r="M1584" s="57"/>
      <c r="N1584" s="57"/>
      <c r="O1584" s="57"/>
      <c r="P1584" s="57"/>
      <c r="Q1584" s="57"/>
    </row>
    <row r="1585">
      <c r="A1585" s="76" t="s">
        <v>398</v>
      </c>
      <c r="B1585" s="60" t="s">
        <v>468</v>
      </c>
      <c r="C1585" s="57"/>
      <c r="D1585" s="57"/>
      <c r="E1585" s="57"/>
      <c r="F1585" s="57"/>
      <c r="G1585" s="57"/>
      <c r="H1585" s="57"/>
      <c r="I1585" s="57"/>
      <c r="J1585" s="57"/>
      <c r="K1585" s="63"/>
      <c r="L1585" s="57"/>
      <c r="M1585" s="57"/>
      <c r="N1585" s="57"/>
      <c r="O1585" s="57"/>
      <c r="P1585" s="57"/>
      <c r="Q1585" s="57"/>
    </row>
    <row r="1586">
      <c r="A1586" s="60" t="s">
        <v>38</v>
      </c>
      <c r="B1586" s="60"/>
      <c r="C1586" s="57"/>
      <c r="D1586" s="57"/>
      <c r="E1586" s="57"/>
      <c r="F1586" s="57"/>
      <c r="G1586" s="57"/>
      <c r="H1586" s="65">
        <v>558.0</v>
      </c>
      <c r="I1586" s="57">
        <f t="shared" ref="I1586:I1589" si="641">ROUNDDOWN(H1586*1.1,0)</f>
        <v>613</v>
      </c>
      <c r="J1586" s="57">
        <f t="shared" ref="J1586:J1589" si="642">ROUNDDOWN(H1586*1.21,0)</f>
        <v>675</v>
      </c>
      <c r="K1586" s="63">
        <f t="shared" ref="K1586:K1589" si="643">ROUNDDOWN(H1586*1.33,0)</f>
        <v>742</v>
      </c>
      <c r="L1586" s="57">
        <f t="shared" ref="L1586:L1589" si="644">ROUNDDOWN(H1586*1.46,0)</f>
        <v>814</v>
      </c>
      <c r="M1586" s="57">
        <f t="shared" ref="M1586:M1589" si="645">ROUNDDOWN(H1586*1.6,0)</f>
        <v>892</v>
      </c>
      <c r="N1586" s="57">
        <f t="shared" ref="N1586:N1589" si="646">ROUNDDOWN(H1586*1.76,0)</f>
        <v>982</v>
      </c>
      <c r="O1586" s="57">
        <f t="shared" ref="O1586:O1589" si="647">ROUNDDOWN(H1586*1.93,0)</f>
        <v>1076</v>
      </c>
      <c r="P1586" s="57">
        <f t="shared" ref="P1586:P1589" si="648">ROUNDDOWN(H1586*2.12,0)</f>
        <v>1182</v>
      </c>
      <c r="Q1586" s="57"/>
    </row>
    <row r="1587">
      <c r="A1587" s="60" t="s">
        <v>24</v>
      </c>
      <c r="B1587" s="60"/>
      <c r="C1587" s="57"/>
      <c r="D1587" s="57"/>
      <c r="E1587" s="57"/>
      <c r="F1587" s="57"/>
      <c r="G1587" s="57"/>
      <c r="H1587" s="65">
        <v>133.0</v>
      </c>
      <c r="I1587" s="57">
        <f t="shared" si="641"/>
        <v>146</v>
      </c>
      <c r="J1587" s="57">
        <f t="shared" si="642"/>
        <v>160</v>
      </c>
      <c r="K1587" s="63">
        <f t="shared" si="643"/>
        <v>176</v>
      </c>
      <c r="L1587" s="57">
        <f t="shared" si="644"/>
        <v>194</v>
      </c>
      <c r="M1587" s="57">
        <f t="shared" si="645"/>
        <v>212</v>
      </c>
      <c r="N1587" s="57">
        <f t="shared" si="646"/>
        <v>234</v>
      </c>
      <c r="O1587" s="57">
        <f t="shared" si="647"/>
        <v>256</v>
      </c>
      <c r="P1587" s="57">
        <f t="shared" si="648"/>
        <v>281</v>
      </c>
      <c r="Q1587" s="57"/>
    </row>
    <row r="1588">
      <c r="A1588" s="60" t="s">
        <v>854</v>
      </c>
      <c r="B1588" s="60"/>
      <c r="C1588" s="57"/>
      <c r="D1588" s="57"/>
      <c r="E1588" s="57"/>
      <c r="F1588" s="57"/>
      <c r="G1588" s="57"/>
      <c r="H1588" s="65">
        <v>558.0</v>
      </c>
      <c r="I1588" s="57">
        <f t="shared" si="641"/>
        <v>613</v>
      </c>
      <c r="J1588" s="57">
        <f t="shared" si="642"/>
        <v>675</v>
      </c>
      <c r="K1588" s="63">
        <f t="shared" si="643"/>
        <v>742</v>
      </c>
      <c r="L1588" s="57">
        <f t="shared" si="644"/>
        <v>814</v>
      </c>
      <c r="M1588" s="57">
        <f t="shared" si="645"/>
        <v>892</v>
      </c>
      <c r="N1588" s="57">
        <f t="shared" si="646"/>
        <v>982</v>
      </c>
      <c r="O1588" s="57">
        <f t="shared" si="647"/>
        <v>1076</v>
      </c>
      <c r="P1588" s="57">
        <f t="shared" si="648"/>
        <v>1182</v>
      </c>
      <c r="Q1588" s="57"/>
    </row>
    <row r="1589">
      <c r="A1589" s="60" t="s">
        <v>855</v>
      </c>
      <c r="B1589" s="60"/>
      <c r="C1589" s="57"/>
      <c r="D1589" s="57"/>
      <c r="E1589" s="57"/>
      <c r="F1589" s="57"/>
      <c r="G1589" s="57"/>
      <c r="H1589" s="65">
        <v>133.0</v>
      </c>
      <c r="I1589" s="57">
        <f t="shared" si="641"/>
        <v>146</v>
      </c>
      <c r="J1589" s="57">
        <f t="shared" si="642"/>
        <v>160</v>
      </c>
      <c r="K1589" s="63">
        <f t="shared" si="643"/>
        <v>176</v>
      </c>
      <c r="L1589" s="57">
        <f t="shared" si="644"/>
        <v>194</v>
      </c>
      <c r="M1589" s="57">
        <f t="shared" si="645"/>
        <v>212</v>
      </c>
      <c r="N1589" s="57">
        <f t="shared" si="646"/>
        <v>234</v>
      </c>
      <c r="O1589" s="57">
        <f t="shared" si="647"/>
        <v>256</v>
      </c>
      <c r="P1589" s="57">
        <f t="shared" si="648"/>
        <v>281</v>
      </c>
      <c r="Q1589" s="57"/>
    </row>
    <row r="1590">
      <c r="A1590" s="60" t="s">
        <v>428</v>
      </c>
      <c r="B1590" s="60" t="s">
        <v>465</v>
      </c>
      <c r="C1590" s="57"/>
      <c r="D1590" s="57"/>
      <c r="E1590" s="57"/>
      <c r="F1590" s="57"/>
      <c r="G1590" s="57"/>
      <c r="H1590" s="57"/>
      <c r="I1590" s="57"/>
      <c r="J1590" s="57"/>
      <c r="K1590" s="63"/>
      <c r="L1590" s="57"/>
      <c r="M1590" s="57"/>
      <c r="N1590" s="57"/>
      <c r="O1590" s="57"/>
      <c r="P1590" s="57"/>
      <c r="Q1590" s="57"/>
    </row>
    <row r="1591">
      <c r="A1591" s="60" t="s">
        <v>55</v>
      </c>
      <c r="B1591" s="60" t="s">
        <v>430</v>
      </c>
      <c r="C1591" s="57"/>
      <c r="D1591" s="57"/>
      <c r="E1591" s="57"/>
      <c r="F1591" s="57"/>
      <c r="G1591" s="57"/>
      <c r="H1591" s="57"/>
      <c r="I1591" s="57"/>
      <c r="J1591" s="57"/>
      <c r="K1591" s="63"/>
      <c r="L1591" s="57"/>
      <c r="M1591" s="57"/>
      <c r="N1591" s="57"/>
      <c r="O1591" s="57"/>
      <c r="P1591" s="57"/>
      <c r="Q1591" s="57"/>
    </row>
    <row r="1592">
      <c r="A1592" s="60" t="s">
        <v>51</v>
      </c>
      <c r="B1592" s="60" t="s">
        <v>451</v>
      </c>
      <c r="C1592" s="57"/>
      <c r="D1592" s="57"/>
      <c r="E1592" s="57"/>
      <c r="F1592" s="57"/>
      <c r="G1592" s="57"/>
      <c r="H1592" s="57"/>
      <c r="I1592" s="57"/>
      <c r="J1592" s="57"/>
      <c r="K1592" s="63"/>
      <c r="L1592" s="57"/>
      <c r="M1592" s="57"/>
      <c r="N1592" s="57"/>
      <c r="O1592" s="57"/>
      <c r="P1592" s="57"/>
      <c r="Q1592" s="57"/>
    </row>
    <row r="1593">
      <c r="A1593" s="60" t="s">
        <v>49</v>
      </c>
      <c r="B1593" s="60" t="s">
        <v>430</v>
      </c>
      <c r="C1593" s="57"/>
      <c r="D1593" s="57"/>
      <c r="E1593" s="57"/>
      <c r="F1593" s="57"/>
      <c r="G1593" s="57"/>
      <c r="H1593" s="57"/>
      <c r="I1593" s="57"/>
      <c r="J1593" s="57"/>
      <c r="K1593" s="63"/>
      <c r="L1593" s="57"/>
      <c r="M1593" s="57"/>
      <c r="N1593" s="57"/>
      <c r="O1593" s="57"/>
      <c r="P1593" s="57"/>
      <c r="Q1593" s="57"/>
    </row>
    <row r="1594">
      <c r="A1594" s="60" t="s">
        <v>432</v>
      </c>
      <c r="B1594" s="60" t="s">
        <v>448</v>
      </c>
      <c r="C1594" s="57"/>
      <c r="D1594" s="57"/>
      <c r="E1594" s="57"/>
      <c r="F1594" s="57"/>
      <c r="G1594" s="57"/>
      <c r="H1594" s="57"/>
      <c r="I1594" s="57"/>
      <c r="J1594" s="57"/>
      <c r="K1594" s="63"/>
      <c r="L1594" s="57"/>
      <c r="M1594" s="57"/>
      <c r="N1594" s="57"/>
      <c r="O1594" s="57"/>
      <c r="P1594" s="57"/>
      <c r="Q1594" s="57"/>
    </row>
    <row r="1595">
      <c r="A1595" s="60" t="s">
        <v>422</v>
      </c>
      <c r="B1595" s="60" t="s">
        <v>434</v>
      </c>
      <c r="C1595" s="57"/>
      <c r="D1595" s="57"/>
      <c r="E1595" s="57"/>
      <c r="F1595" s="57"/>
      <c r="G1595" s="57"/>
      <c r="H1595" s="57"/>
      <c r="I1595" s="57"/>
      <c r="J1595" s="57"/>
      <c r="K1595" s="63"/>
      <c r="L1595" s="57"/>
      <c r="M1595" s="57"/>
      <c r="N1595" s="57"/>
      <c r="O1595" s="57"/>
      <c r="P1595" s="57"/>
      <c r="Q1595" s="57"/>
    </row>
    <row r="1596">
      <c r="A1596" s="60" t="s">
        <v>435</v>
      </c>
      <c r="B1596" s="60" t="s">
        <v>436</v>
      </c>
      <c r="C1596" s="57"/>
      <c r="D1596" s="57"/>
      <c r="E1596" s="57"/>
      <c r="F1596" s="57"/>
      <c r="G1596" s="57"/>
      <c r="H1596" s="57"/>
      <c r="I1596" s="57"/>
      <c r="J1596" s="57"/>
      <c r="K1596" s="63"/>
      <c r="L1596" s="57"/>
      <c r="M1596" s="57"/>
      <c r="N1596" s="57"/>
      <c r="O1596" s="57"/>
      <c r="P1596" s="57"/>
      <c r="Q1596" s="57"/>
    </row>
    <row r="1597">
      <c r="A1597" s="60" t="s">
        <v>53</v>
      </c>
      <c r="B1597" s="60" t="s">
        <v>429</v>
      </c>
      <c r="C1597" s="57"/>
      <c r="D1597" s="57"/>
      <c r="E1597" s="57"/>
      <c r="F1597" s="57"/>
      <c r="G1597" s="57"/>
      <c r="H1597" s="57"/>
      <c r="I1597" s="57"/>
      <c r="J1597" s="57"/>
      <c r="K1597" s="63"/>
      <c r="L1597" s="57"/>
      <c r="M1597" s="57"/>
      <c r="N1597" s="57"/>
      <c r="O1597" s="57"/>
      <c r="P1597" s="57"/>
      <c r="Q1597" s="57"/>
    </row>
    <row r="1598">
      <c r="A1598" s="60" t="s">
        <v>50</v>
      </c>
      <c r="B1598" s="60" t="s">
        <v>98</v>
      </c>
      <c r="C1598" s="57"/>
      <c r="D1598" s="57"/>
      <c r="E1598" s="57"/>
      <c r="F1598" s="57"/>
      <c r="G1598" s="57"/>
      <c r="H1598" s="57"/>
      <c r="I1598" s="57"/>
      <c r="J1598" s="57"/>
      <c r="K1598" s="63"/>
      <c r="L1598" s="57"/>
      <c r="M1598" s="57"/>
      <c r="N1598" s="57"/>
      <c r="O1598" s="57"/>
      <c r="P1598" s="57"/>
      <c r="Q1598" s="57"/>
    </row>
    <row r="1599">
      <c r="A1599" s="60" t="s">
        <v>438</v>
      </c>
      <c r="B1599" s="60" t="s">
        <v>472</v>
      </c>
      <c r="C1599" s="57"/>
      <c r="D1599" s="57"/>
      <c r="E1599" s="57"/>
      <c r="F1599" s="57"/>
      <c r="G1599" s="57"/>
      <c r="H1599" s="57"/>
      <c r="I1599" s="57"/>
      <c r="J1599" s="57"/>
      <c r="K1599" s="63"/>
      <c r="L1599" s="57"/>
      <c r="M1599" s="57"/>
      <c r="N1599" s="57"/>
      <c r="O1599" s="57"/>
      <c r="P1599" s="57"/>
      <c r="Q1599" s="57"/>
    </row>
    <row r="1600">
      <c r="A1600" s="60" t="s">
        <v>439</v>
      </c>
      <c r="B1600" s="60" t="s">
        <v>502</v>
      </c>
      <c r="C1600" s="57"/>
      <c r="D1600" s="57"/>
      <c r="E1600" s="57"/>
      <c r="F1600" s="57"/>
      <c r="G1600" s="57"/>
      <c r="H1600" s="57"/>
      <c r="I1600" s="57"/>
      <c r="J1600" s="57"/>
      <c r="K1600" s="63"/>
      <c r="L1600" s="57"/>
      <c r="M1600" s="57"/>
      <c r="N1600" s="57"/>
      <c r="O1600" s="57"/>
      <c r="P1600" s="57"/>
      <c r="Q1600" s="57"/>
    </row>
    <row r="1601">
      <c r="A1601" s="60" t="s">
        <v>441</v>
      </c>
      <c r="B1601" s="60">
        <v>3.0</v>
      </c>
      <c r="C1601" s="57"/>
      <c r="D1601" s="57"/>
      <c r="E1601" s="57"/>
      <c r="F1601" s="57"/>
      <c r="G1601" s="57"/>
      <c r="H1601" s="57"/>
      <c r="I1601" s="57"/>
      <c r="J1601" s="57"/>
      <c r="K1601" s="63"/>
      <c r="L1601" s="57"/>
      <c r="M1601" s="57"/>
      <c r="N1601" s="57"/>
      <c r="O1601" s="57"/>
      <c r="P1601" s="57"/>
      <c r="Q1601" s="57"/>
    </row>
    <row r="1602">
      <c r="A1602" s="60" t="s">
        <v>511</v>
      </c>
      <c r="B1602" s="60" t="s">
        <v>856</v>
      </c>
      <c r="C1602" s="57"/>
      <c r="D1602" s="57"/>
      <c r="E1602" s="57"/>
      <c r="F1602" s="57"/>
      <c r="G1602" s="57"/>
      <c r="H1602" s="57"/>
      <c r="I1602" s="57"/>
      <c r="J1602" s="57"/>
      <c r="K1602" s="63"/>
      <c r="L1602" s="57"/>
      <c r="M1602" s="57"/>
      <c r="N1602" s="57"/>
      <c r="O1602" s="57"/>
      <c r="P1602" s="57"/>
      <c r="Q1602" s="57"/>
    </row>
    <row r="1603">
      <c r="A1603" s="60" t="s">
        <v>444</v>
      </c>
      <c r="B1603" s="60" t="s">
        <v>690</v>
      </c>
      <c r="C1603" s="57"/>
      <c r="D1603" s="57"/>
      <c r="E1603" s="57"/>
      <c r="F1603" s="57"/>
      <c r="G1603" s="57"/>
      <c r="H1603" s="57"/>
      <c r="I1603" s="57"/>
      <c r="J1603" s="57"/>
      <c r="K1603" s="63"/>
      <c r="L1603" s="57"/>
      <c r="M1603" s="57"/>
      <c r="N1603" s="57"/>
      <c r="O1603" s="57"/>
      <c r="P1603" s="57"/>
      <c r="Q1603" s="57"/>
    </row>
    <row r="1604">
      <c r="A1604" s="60" t="s">
        <v>446</v>
      </c>
      <c r="B1604" s="60" t="s">
        <v>461</v>
      </c>
      <c r="C1604" s="57"/>
      <c r="D1604" s="57"/>
      <c r="E1604" s="57"/>
      <c r="F1604" s="57"/>
      <c r="G1604" s="57"/>
      <c r="H1604" s="57"/>
      <c r="I1604" s="57"/>
      <c r="J1604" s="57"/>
      <c r="K1604" s="63"/>
      <c r="L1604" s="57"/>
      <c r="M1604" s="57"/>
      <c r="N1604" s="57"/>
      <c r="O1604" s="57"/>
      <c r="P1604" s="57"/>
      <c r="Q1604" s="57"/>
    </row>
    <row r="1605">
      <c r="A1605" s="60" t="s">
        <v>447</v>
      </c>
      <c r="B1605" s="60" t="s">
        <v>448</v>
      </c>
      <c r="C1605" s="57"/>
      <c r="D1605" s="57"/>
      <c r="E1605" s="57"/>
      <c r="F1605" s="57"/>
      <c r="G1605" s="57"/>
      <c r="H1605" s="57"/>
      <c r="I1605" s="57"/>
      <c r="J1605" s="57"/>
      <c r="K1605" s="63"/>
      <c r="L1605" s="57"/>
      <c r="M1605" s="57"/>
      <c r="N1605" s="57"/>
      <c r="O1605" s="57"/>
      <c r="P1605" s="57"/>
      <c r="Q1605" s="57"/>
    </row>
    <row r="1606">
      <c r="A1606" s="60" t="s">
        <v>674</v>
      </c>
      <c r="B1606" s="60" t="s">
        <v>857</v>
      </c>
      <c r="C1606" s="57"/>
      <c r="D1606" s="57"/>
      <c r="E1606" s="57"/>
      <c r="F1606" s="57"/>
      <c r="G1606" s="57"/>
      <c r="H1606" s="57"/>
      <c r="I1606" s="57"/>
      <c r="J1606" s="57"/>
      <c r="K1606" s="63"/>
      <c r="L1606" s="57"/>
      <c r="M1606" s="57"/>
      <c r="N1606" s="57"/>
      <c r="O1606" s="57"/>
      <c r="P1606" s="57"/>
      <c r="Q1606" s="57"/>
    </row>
    <row r="1607">
      <c r="A1607" s="60" t="s">
        <v>858</v>
      </c>
      <c r="B1607" s="60" t="s">
        <v>429</v>
      </c>
      <c r="C1607" s="57"/>
      <c r="D1607" s="57"/>
      <c r="E1607" s="57"/>
      <c r="F1607" s="57"/>
      <c r="G1607" s="57"/>
      <c r="H1607" s="57"/>
      <c r="I1607" s="57"/>
      <c r="J1607" s="57"/>
      <c r="K1607" s="63"/>
      <c r="L1607" s="57"/>
      <c r="M1607" s="57"/>
      <c r="N1607" s="57"/>
      <c r="O1607" s="57"/>
      <c r="P1607" s="57"/>
      <c r="Q1607" s="57"/>
    </row>
    <row r="1608">
      <c r="A1608" s="60" t="s">
        <v>859</v>
      </c>
      <c r="B1608" s="60" t="s">
        <v>430</v>
      </c>
      <c r="C1608" s="57"/>
      <c r="D1608" s="57"/>
      <c r="E1608" s="57"/>
      <c r="F1608" s="57"/>
      <c r="G1608" s="57"/>
      <c r="H1608" s="57"/>
      <c r="I1608" s="57"/>
      <c r="J1608" s="57"/>
      <c r="K1608" s="63"/>
      <c r="L1608" s="57"/>
      <c r="M1608" s="57"/>
      <c r="N1608" s="57"/>
      <c r="O1608" s="57"/>
      <c r="P1608" s="57"/>
      <c r="Q1608" s="57"/>
    </row>
    <row r="1609">
      <c r="A1609" s="60" t="s">
        <v>860</v>
      </c>
      <c r="B1609" s="60" t="s">
        <v>430</v>
      </c>
      <c r="C1609" s="57"/>
      <c r="D1609" s="57"/>
      <c r="E1609" s="57"/>
      <c r="F1609" s="57"/>
      <c r="G1609" s="57"/>
      <c r="H1609" s="57"/>
      <c r="I1609" s="57"/>
      <c r="J1609" s="57"/>
      <c r="K1609" s="63"/>
      <c r="L1609" s="57"/>
      <c r="M1609" s="57"/>
      <c r="N1609" s="57"/>
      <c r="O1609" s="57"/>
      <c r="P1609" s="57"/>
      <c r="Q1609" s="57"/>
    </row>
    <row r="1610">
      <c r="A1610" s="60" t="s">
        <v>861</v>
      </c>
      <c r="B1610" s="60" t="s">
        <v>448</v>
      </c>
      <c r="C1610" s="57"/>
      <c r="D1610" s="57"/>
      <c r="E1610" s="57"/>
      <c r="F1610" s="57"/>
      <c r="G1610" s="57"/>
      <c r="H1610" s="57"/>
      <c r="I1610" s="57"/>
      <c r="J1610" s="57"/>
      <c r="K1610" s="63"/>
      <c r="L1610" s="57"/>
      <c r="M1610" s="57"/>
      <c r="N1610" s="57"/>
      <c r="O1610" s="57"/>
      <c r="P1610" s="57"/>
      <c r="Q1610" s="57"/>
    </row>
    <row r="1611">
      <c r="A1611" s="60" t="s">
        <v>862</v>
      </c>
      <c r="B1611" s="60" t="s">
        <v>434</v>
      </c>
      <c r="C1611" s="57"/>
      <c r="D1611" s="57"/>
      <c r="E1611" s="57"/>
      <c r="F1611" s="57"/>
      <c r="G1611" s="57"/>
      <c r="H1611" s="57"/>
      <c r="I1611" s="57"/>
      <c r="J1611" s="57"/>
      <c r="K1611" s="63"/>
      <c r="L1611" s="57"/>
      <c r="M1611" s="57"/>
      <c r="N1611" s="57"/>
      <c r="O1611" s="57"/>
      <c r="P1611" s="57"/>
      <c r="Q1611" s="57"/>
    </row>
    <row r="1612">
      <c r="A1612" s="60" t="s">
        <v>863</v>
      </c>
      <c r="B1612" s="60" t="s">
        <v>436</v>
      </c>
      <c r="C1612" s="57"/>
      <c r="D1612" s="57"/>
      <c r="E1612" s="57"/>
      <c r="F1612" s="57"/>
      <c r="G1612" s="57"/>
      <c r="H1612" s="57"/>
      <c r="I1612" s="57"/>
      <c r="J1612" s="57"/>
      <c r="K1612" s="63"/>
      <c r="L1612" s="57"/>
      <c r="M1612" s="57"/>
      <c r="N1612" s="57"/>
      <c r="O1612" s="57"/>
      <c r="P1612" s="57"/>
      <c r="Q1612" s="57"/>
    </row>
    <row r="1613">
      <c r="A1613" s="60" t="s">
        <v>864</v>
      </c>
      <c r="B1613" s="60" t="s">
        <v>429</v>
      </c>
      <c r="C1613" s="57"/>
      <c r="D1613" s="57"/>
      <c r="E1613" s="57"/>
      <c r="F1613" s="57"/>
      <c r="G1613" s="57"/>
      <c r="H1613" s="57"/>
      <c r="I1613" s="57"/>
      <c r="J1613" s="57"/>
      <c r="K1613" s="63"/>
      <c r="L1613" s="57"/>
      <c r="M1613" s="57"/>
      <c r="N1613" s="57"/>
      <c r="O1613" s="57"/>
      <c r="P1613" s="57"/>
      <c r="Q1613" s="57"/>
    </row>
    <row r="1614">
      <c r="A1614" s="60" t="s">
        <v>865</v>
      </c>
      <c r="B1614" s="60" t="s">
        <v>98</v>
      </c>
      <c r="C1614" s="57"/>
      <c r="D1614" s="57"/>
      <c r="E1614" s="57"/>
      <c r="F1614" s="57"/>
      <c r="G1614" s="57"/>
      <c r="H1614" s="57"/>
      <c r="I1614" s="57"/>
      <c r="J1614" s="57"/>
      <c r="K1614" s="63"/>
      <c r="L1614" s="57"/>
      <c r="M1614" s="57"/>
      <c r="N1614" s="57"/>
      <c r="O1614" s="57"/>
      <c r="P1614" s="57"/>
      <c r="Q1614" s="57"/>
    </row>
    <row r="1615">
      <c r="A1615" s="60" t="s">
        <v>866</v>
      </c>
      <c r="B1615" s="60" t="s">
        <v>548</v>
      </c>
      <c r="C1615" s="57"/>
      <c r="D1615" s="57"/>
      <c r="E1615" s="57"/>
      <c r="F1615" s="57"/>
      <c r="G1615" s="57"/>
      <c r="H1615" s="57"/>
      <c r="I1615" s="57"/>
      <c r="J1615" s="57"/>
      <c r="K1615" s="63"/>
      <c r="L1615" s="57"/>
      <c r="M1615" s="57"/>
      <c r="N1615" s="57"/>
      <c r="O1615" s="57"/>
      <c r="P1615" s="57"/>
      <c r="Q1615" s="57"/>
    </row>
    <row r="1616">
      <c r="A1616" s="60" t="s">
        <v>867</v>
      </c>
      <c r="B1616" s="60" t="s">
        <v>472</v>
      </c>
      <c r="C1616" s="57"/>
      <c r="D1616" s="57"/>
      <c r="E1616" s="57"/>
      <c r="F1616" s="57"/>
      <c r="G1616" s="57"/>
      <c r="H1616" s="57"/>
      <c r="I1616" s="57"/>
      <c r="J1616" s="57"/>
      <c r="K1616" s="63"/>
      <c r="L1616" s="57"/>
      <c r="M1616" s="57"/>
      <c r="N1616" s="57"/>
      <c r="O1616" s="57"/>
      <c r="P1616" s="57"/>
      <c r="Q1616" s="57"/>
    </row>
    <row r="1617">
      <c r="A1617" s="60" t="s">
        <v>868</v>
      </c>
      <c r="B1617" s="60" t="s">
        <v>502</v>
      </c>
      <c r="C1617" s="57"/>
      <c r="D1617" s="57"/>
      <c r="E1617" s="57"/>
      <c r="F1617" s="57"/>
      <c r="G1617" s="57"/>
      <c r="H1617" s="57"/>
      <c r="I1617" s="57"/>
      <c r="J1617" s="57"/>
      <c r="K1617" s="63"/>
      <c r="L1617" s="57"/>
      <c r="M1617" s="57"/>
      <c r="N1617" s="57"/>
      <c r="O1617" s="57"/>
      <c r="P1617" s="57"/>
      <c r="Q1617" s="57"/>
    </row>
    <row r="1618">
      <c r="A1618" s="60" t="s">
        <v>869</v>
      </c>
      <c r="B1618" s="60">
        <v>3.0</v>
      </c>
      <c r="C1618" s="57"/>
      <c r="D1618" s="57"/>
      <c r="E1618" s="57"/>
      <c r="F1618" s="57"/>
      <c r="G1618" s="57"/>
      <c r="H1618" s="57"/>
      <c r="I1618" s="57"/>
      <c r="J1618" s="57"/>
      <c r="K1618" s="63"/>
      <c r="L1618" s="57"/>
      <c r="M1618" s="57"/>
      <c r="N1618" s="57"/>
      <c r="O1618" s="57"/>
      <c r="P1618" s="57"/>
      <c r="Q1618" s="57"/>
    </row>
    <row r="1619">
      <c r="A1619" s="60" t="s">
        <v>870</v>
      </c>
      <c r="B1619" s="60" t="s">
        <v>635</v>
      </c>
      <c r="C1619" s="57"/>
      <c r="D1619" s="57"/>
      <c r="E1619" s="57"/>
      <c r="F1619" s="57"/>
      <c r="G1619" s="57"/>
      <c r="H1619" s="57"/>
      <c r="I1619" s="57"/>
      <c r="J1619" s="57"/>
      <c r="K1619" s="63"/>
      <c r="L1619" s="57"/>
      <c r="M1619" s="57"/>
      <c r="N1619" s="57"/>
      <c r="O1619" s="57"/>
      <c r="P1619" s="57"/>
      <c r="Q1619" s="57"/>
    </row>
    <row r="1620">
      <c r="A1620" s="60" t="s">
        <v>871</v>
      </c>
      <c r="B1620" s="60" t="s">
        <v>445</v>
      </c>
      <c r="C1620" s="57"/>
      <c r="D1620" s="57"/>
      <c r="E1620" s="57"/>
      <c r="F1620" s="57"/>
      <c r="G1620" s="57"/>
      <c r="H1620" s="57"/>
      <c r="I1620" s="57"/>
      <c r="J1620" s="57"/>
      <c r="K1620" s="63"/>
      <c r="L1620" s="57"/>
      <c r="M1620" s="57"/>
      <c r="N1620" s="57"/>
      <c r="O1620" s="57"/>
      <c r="P1620" s="57"/>
      <c r="Q1620" s="57"/>
    </row>
    <row r="1621">
      <c r="A1621" s="60" t="s">
        <v>872</v>
      </c>
      <c r="B1621" s="60" t="s">
        <v>445</v>
      </c>
      <c r="C1621" s="57"/>
      <c r="D1621" s="57"/>
      <c r="E1621" s="57"/>
      <c r="F1621" s="57"/>
      <c r="G1621" s="57"/>
      <c r="H1621" s="57"/>
      <c r="I1621" s="57"/>
      <c r="J1621" s="57"/>
      <c r="K1621" s="63"/>
      <c r="L1621" s="57"/>
      <c r="M1621" s="57"/>
      <c r="N1621" s="57"/>
      <c r="O1621" s="57"/>
      <c r="P1621" s="57"/>
      <c r="Q1621" s="57"/>
    </row>
    <row r="1622">
      <c r="A1622" s="60" t="s">
        <v>873</v>
      </c>
      <c r="B1622" s="60" t="s">
        <v>448</v>
      </c>
      <c r="C1622" s="57"/>
      <c r="D1622" s="57"/>
      <c r="E1622" s="57"/>
      <c r="F1622" s="57"/>
      <c r="G1622" s="57"/>
      <c r="H1622" s="57"/>
      <c r="I1622" s="57"/>
      <c r="J1622" s="57"/>
      <c r="K1622" s="63"/>
      <c r="L1622" s="57"/>
      <c r="M1622" s="57"/>
      <c r="N1622" s="57"/>
      <c r="O1622" s="57"/>
      <c r="P1622" s="57"/>
      <c r="Q1622" s="57"/>
    </row>
    <row r="1623">
      <c r="A1623" s="60" t="s">
        <v>874</v>
      </c>
      <c r="B1623" s="60" t="s">
        <v>857</v>
      </c>
      <c r="C1623" s="57"/>
      <c r="D1623" s="57"/>
      <c r="E1623" s="57"/>
      <c r="F1623" s="57"/>
      <c r="G1623" s="57"/>
      <c r="H1623" s="57"/>
      <c r="I1623" s="57"/>
      <c r="J1623" s="57"/>
      <c r="K1623" s="63"/>
      <c r="L1623" s="57"/>
      <c r="M1623" s="57"/>
      <c r="N1623" s="57"/>
      <c r="O1623" s="57"/>
      <c r="P1623" s="57"/>
      <c r="Q1623" s="57"/>
    </row>
    <row r="1624">
      <c r="A1624" s="83" t="s">
        <v>401</v>
      </c>
      <c r="B1624" s="60" t="s">
        <v>416</v>
      </c>
      <c r="C1624" s="57"/>
      <c r="D1624" s="57"/>
      <c r="E1624" s="57"/>
      <c r="F1624" s="57"/>
      <c r="G1624" s="57"/>
      <c r="H1624" s="57"/>
      <c r="I1624" s="57"/>
      <c r="J1624" s="57"/>
      <c r="K1624" s="63"/>
      <c r="L1624" s="57"/>
      <c r="M1624" s="57"/>
      <c r="N1624" s="57"/>
      <c r="O1624" s="57"/>
      <c r="P1624" s="57"/>
      <c r="Q1624" s="57"/>
    </row>
    <row r="1625">
      <c r="A1625" s="60" t="s">
        <v>38</v>
      </c>
      <c r="B1625" s="60"/>
      <c r="C1625" s="57"/>
      <c r="D1625" s="57"/>
      <c r="E1625" s="57"/>
      <c r="F1625" s="57"/>
      <c r="G1625" s="57"/>
      <c r="H1625" s="57"/>
      <c r="I1625" s="57"/>
      <c r="J1625" s="57"/>
      <c r="K1625" s="66">
        <v>720.0</v>
      </c>
      <c r="L1625" s="57">
        <f t="shared" ref="L1625:L1626" si="649">ROUNDDOWN(K1625*1.1,0)</f>
        <v>792</v>
      </c>
      <c r="M1625" s="57">
        <f t="shared" ref="M1625:M1626" si="650">ROUNDDOWN(K1625*1.21,0)</f>
        <v>871</v>
      </c>
      <c r="N1625" s="57">
        <f t="shared" ref="N1625:N1626" si="651">ROUNDDOWN(K1625*1.33,0)</f>
        <v>957</v>
      </c>
      <c r="O1625" s="57">
        <f t="shared" ref="O1625:O1626" si="652">ROUNDDOWN(K1625*1.46,0)</f>
        <v>1051</v>
      </c>
      <c r="P1625" s="57">
        <f t="shared" ref="P1625:P1626" si="653">ROUNDDOWN(K1625*1.57,0)</f>
        <v>1130</v>
      </c>
      <c r="Q1625" s="57"/>
    </row>
    <row r="1626">
      <c r="A1626" s="60" t="s">
        <v>24</v>
      </c>
      <c r="B1626" s="60"/>
      <c r="C1626" s="57"/>
      <c r="D1626" s="57"/>
      <c r="E1626" s="57"/>
      <c r="F1626" s="57"/>
      <c r="G1626" s="57"/>
      <c r="H1626" s="57"/>
      <c r="I1626" s="57"/>
      <c r="J1626" s="57"/>
      <c r="K1626" s="66">
        <v>160.0</v>
      </c>
      <c r="L1626" s="57">
        <f t="shared" si="649"/>
        <v>176</v>
      </c>
      <c r="M1626" s="57">
        <f t="shared" si="650"/>
        <v>193</v>
      </c>
      <c r="N1626" s="57">
        <f t="shared" si="651"/>
        <v>212</v>
      </c>
      <c r="O1626" s="57">
        <f t="shared" si="652"/>
        <v>233</v>
      </c>
      <c r="P1626" s="57">
        <f t="shared" si="653"/>
        <v>251</v>
      </c>
      <c r="Q1626" s="57"/>
    </row>
    <row r="1627">
      <c r="A1627" s="60" t="s">
        <v>428</v>
      </c>
      <c r="B1627" s="60" t="s">
        <v>469</v>
      </c>
      <c r="C1627" s="57"/>
      <c r="D1627" s="57"/>
      <c r="E1627" s="57"/>
      <c r="F1627" s="57"/>
      <c r="G1627" s="57"/>
      <c r="H1627" s="57"/>
      <c r="I1627" s="57"/>
      <c r="J1627" s="57"/>
      <c r="K1627" s="63"/>
      <c r="L1627" s="57"/>
      <c r="M1627" s="57"/>
      <c r="N1627" s="57"/>
      <c r="O1627" s="57"/>
      <c r="P1627" s="57"/>
      <c r="Q1627" s="57"/>
    </row>
    <row r="1628">
      <c r="A1628" s="60" t="s">
        <v>55</v>
      </c>
      <c r="B1628" s="60" t="s">
        <v>430</v>
      </c>
      <c r="C1628" s="57"/>
      <c r="D1628" s="57"/>
      <c r="E1628" s="57"/>
      <c r="F1628" s="57"/>
      <c r="G1628" s="57"/>
      <c r="H1628" s="57"/>
      <c r="I1628" s="57"/>
      <c r="J1628" s="57"/>
      <c r="K1628" s="63"/>
      <c r="L1628" s="57"/>
      <c r="M1628" s="57"/>
      <c r="N1628" s="57"/>
      <c r="O1628" s="57"/>
      <c r="P1628" s="57"/>
      <c r="Q1628" s="57"/>
    </row>
    <row r="1629">
      <c r="A1629" s="60" t="s">
        <v>51</v>
      </c>
      <c r="B1629" s="60" t="s">
        <v>451</v>
      </c>
      <c r="C1629" s="57"/>
      <c r="D1629" s="57"/>
      <c r="E1629" s="57"/>
      <c r="F1629" s="57"/>
      <c r="G1629" s="57"/>
      <c r="H1629" s="57"/>
      <c r="I1629" s="57"/>
      <c r="J1629" s="57"/>
      <c r="K1629" s="63"/>
      <c r="L1629" s="57"/>
      <c r="M1629" s="57"/>
      <c r="N1629" s="57"/>
      <c r="O1629" s="57"/>
      <c r="P1629" s="57"/>
      <c r="Q1629" s="57"/>
    </row>
    <row r="1630">
      <c r="A1630" s="60" t="s">
        <v>49</v>
      </c>
      <c r="B1630" s="60" t="s">
        <v>609</v>
      </c>
      <c r="C1630" s="57"/>
      <c r="D1630" s="57"/>
      <c r="E1630" s="57"/>
      <c r="F1630" s="57"/>
      <c r="G1630" s="57"/>
      <c r="H1630" s="57"/>
      <c r="I1630" s="57"/>
      <c r="J1630" s="57"/>
      <c r="K1630" s="63"/>
      <c r="L1630" s="57"/>
      <c r="M1630" s="57"/>
      <c r="N1630" s="57"/>
      <c r="O1630" s="57"/>
      <c r="P1630" s="57"/>
      <c r="Q1630" s="57"/>
    </row>
    <row r="1631">
      <c r="A1631" s="60" t="s">
        <v>432</v>
      </c>
      <c r="B1631" s="60" t="s">
        <v>452</v>
      </c>
      <c r="C1631" s="57"/>
      <c r="D1631" s="57"/>
      <c r="E1631" s="57"/>
      <c r="F1631" s="57"/>
      <c r="G1631" s="57"/>
      <c r="H1631" s="57"/>
      <c r="I1631" s="57"/>
      <c r="J1631" s="57"/>
      <c r="K1631" s="63"/>
      <c r="L1631" s="57"/>
      <c r="M1631" s="57"/>
      <c r="N1631" s="57"/>
      <c r="O1631" s="57"/>
      <c r="P1631" s="57"/>
      <c r="Q1631" s="57"/>
    </row>
    <row r="1632">
      <c r="A1632" s="60" t="s">
        <v>53</v>
      </c>
      <c r="B1632" s="60" t="s">
        <v>458</v>
      </c>
      <c r="C1632" s="57"/>
      <c r="D1632" s="57"/>
      <c r="E1632" s="57"/>
      <c r="F1632" s="57"/>
      <c r="G1632" s="57"/>
      <c r="H1632" s="57"/>
      <c r="I1632" s="57"/>
      <c r="J1632" s="57"/>
      <c r="K1632" s="63"/>
      <c r="L1632" s="57"/>
      <c r="M1632" s="57"/>
      <c r="N1632" s="57"/>
      <c r="O1632" s="57"/>
      <c r="P1632" s="57"/>
      <c r="Q1632" s="57"/>
    </row>
    <row r="1633">
      <c r="A1633" s="60" t="s">
        <v>875</v>
      </c>
      <c r="B1633" s="60" t="s">
        <v>499</v>
      </c>
      <c r="C1633" s="57"/>
      <c r="D1633" s="57"/>
      <c r="E1633" s="57"/>
      <c r="F1633" s="57"/>
      <c r="G1633" s="57"/>
      <c r="H1633" s="57"/>
      <c r="I1633" s="57"/>
      <c r="J1633" s="57"/>
      <c r="K1633" s="63"/>
      <c r="L1633" s="57"/>
      <c r="M1633" s="57"/>
      <c r="N1633" s="57"/>
      <c r="O1633" s="57"/>
      <c r="P1633" s="57"/>
      <c r="Q1633" s="57"/>
    </row>
    <row r="1634">
      <c r="A1634" s="60" t="s">
        <v>876</v>
      </c>
      <c r="B1634" s="60" t="s">
        <v>481</v>
      </c>
      <c r="C1634" s="57"/>
      <c r="D1634" s="57"/>
      <c r="E1634" s="57"/>
      <c r="F1634" s="57"/>
      <c r="G1634" s="57"/>
      <c r="H1634" s="57"/>
      <c r="I1634" s="57"/>
      <c r="J1634" s="57"/>
      <c r="K1634" s="63"/>
      <c r="L1634" s="57"/>
      <c r="M1634" s="57"/>
      <c r="N1634" s="57"/>
      <c r="O1634" s="57"/>
      <c r="P1634" s="57"/>
      <c r="Q1634" s="57"/>
    </row>
    <row r="1635">
      <c r="A1635" s="60" t="s">
        <v>877</v>
      </c>
      <c r="B1635" s="60" t="s">
        <v>609</v>
      </c>
      <c r="C1635" s="57"/>
      <c r="D1635" s="57"/>
      <c r="E1635" s="57"/>
      <c r="F1635" s="57"/>
      <c r="G1635" s="57"/>
      <c r="H1635" s="57"/>
      <c r="I1635" s="57"/>
      <c r="J1635" s="57"/>
      <c r="K1635" s="63"/>
      <c r="L1635" s="57"/>
      <c r="M1635" s="57"/>
      <c r="N1635" s="57"/>
      <c r="O1635" s="57"/>
      <c r="P1635" s="57"/>
      <c r="Q1635" s="57"/>
    </row>
    <row r="1636">
      <c r="A1636" s="60" t="s">
        <v>50</v>
      </c>
      <c r="B1636" s="60" t="s">
        <v>98</v>
      </c>
      <c r="C1636" s="57"/>
      <c r="D1636" s="57"/>
      <c r="E1636" s="57"/>
      <c r="F1636" s="57"/>
      <c r="G1636" s="57"/>
      <c r="H1636" s="57"/>
      <c r="I1636" s="57"/>
      <c r="J1636" s="57"/>
      <c r="K1636" s="63"/>
      <c r="L1636" s="57"/>
      <c r="M1636" s="57"/>
      <c r="N1636" s="57"/>
      <c r="O1636" s="57"/>
      <c r="P1636" s="57"/>
      <c r="Q1636" s="57"/>
    </row>
    <row r="1637">
      <c r="A1637" s="60" t="s">
        <v>878</v>
      </c>
      <c r="B1637" s="60" t="s">
        <v>672</v>
      </c>
      <c r="C1637" s="57"/>
      <c r="D1637" s="57"/>
      <c r="E1637" s="57"/>
      <c r="F1637" s="57"/>
      <c r="G1637" s="57"/>
      <c r="H1637" s="57"/>
      <c r="I1637" s="57"/>
      <c r="J1637" s="57"/>
      <c r="K1637" s="63"/>
      <c r="L1637" s="57"/>
      <c r="M1637" s="57"/>
      <c r="N1637" s="57"/>
      <c r="O1637" s="57"/>
      <c r="P1637" s="57"/>
      <c r="Q1637" s="57"/>
    </row>
    <row r="1638">
      <c r="A1638" s="60" t="s">
        <v>879</v>
      </c>
      <c r="B1638" s="60" t="s">
        <v>436</v>
      </c>
      <c r="C1638" s="57"/>
      <c r="D1638" s="57"/>
      <c r="E1638" s="57"/>
      <c r="F1638" s="57"/>
      <c r="G1638" s="57"/>
      <c r="H1638" s="57"/>
      <c r="I1638" s="57"/>
      <c r="J1638" s="57"/>
      <c r="K1638" s="63"/>
      <c r="L1638" s="57"/>
      <c r="M1638" s="57"/>
      <c r="N1638" s="57"/>
      <c r="O1638" s="57"/>
      <c r="P1638" s="57"/>
      <c r="Q1638" s="57"/>
    </row>
    <row r="1639">
      <c r="A1639" s="60" t="s">
        <v>880</v>
      </c>
      <c r="B1639" s="60" t="s">
        <v>450</v>
      </c>
      <c r="C1639" s="57"/>
      <c r="D1639" s="57"/>
      <c r="E1639" s="57"/>
      <c r="F1639" s="57"/>
      <c r="G1639" s="57"/>
      <c r="H1639" s="57"/>
      <c r="I1639" s="57"/>
      <c r="J1639" s="57"/>
      <c r="K1639" s="63"/>
      <c r="L1639" s="57"/>
      <c r="M1639" s="57"/>
      <c r="N1639" s="57"/>
      <c r="O1639" s="57"/>
      <c r="P1639" s="57"/>
      <c r="Q1639" s="57"/>
    </row>
    <row r="1640">
      <c r="A1640" s="60" t="s">
        <v>881</v>
      </c>
      <c r="B1640" s="60" t="s">
        <v>456</v>
      </c>
      <c r="C1640" s="57"/>
      <c r="D1640" s="57"/>
      <c r="E1640" s="57"/>
      <c r="F1640" s="57"/>
      <c r="G1640" s="57"/>
      <c r="H1640" s="57"/>
      <c r="I1640" s="57"/>
      <c r="J1640" s="57"/>
      <c r="K1640" s="63"/>
      <c r="L1640" s="57"/>
      <c r="M1640" s="57"/>
      <c r="N1640" s="57"/>
      <c r="O1640" s="57"/>
      <c r="P1640" s="57"/>
      <c r="Q1640" s="57"/>
    </row>
    <row r="1641">
      <c r="A1641" s="60" t="s">
        <v>882</v>
      </c>
      <c r="B1641" s="82">
        <v>-0.35</v>
      </c>
      <c r="C1641" s="57"/>
      <c r="D1641" s="57"/>
      <c r="E1641" s="57"/>
      <c r="F1641" s="57"/>
      <c r="G1641" s="57"/>
      <c r="H1641" s="57"/>
      <c r="I1641" s="57"/>
      <c r="J1641" s="57"/>
      <c r="K1641" s="63"/>
      <c r="L1641" s="57"/>
      <c r="M1641" s="57"/>
      <c r="N1641" s="57"/>
      <c r="O1641" s="57"/>
      <c r="P1641" s="57"/>
      <c r="Q1641" s="57"/>
    </row>
    <row r="1642">
      <c r="A1642" s="60" t="s">
        <v>883</v>
      </c>
      <c r="B1642" s="60" t="s">
        <v>574</v>
      </c>
      <c r="C1642" s="57"/>
      <c r="D1642" s="57"/>
      <c r="E1642" s="57"/>
      <c r="F1642" s="57"/>
      <c r="G1642" s="57"/>
      <c r="H1642" s="57"/>
      <c r="I1642" s="57"/>
      <c r="J1642" s="57"/>
      <c r="K1642" s="63"/>
      <c r="L1642" s="57"/>
      <c r="M1642" s="57"/>
      <c r="N1642" s="57"/>
      <c r="O1642" s="57"/>
      <c r="P1642" s="57"/>
      <c r="Q1642" s="57"/>
    </row>
    <row r="1643">
      <c r="A1643" s="60" t="s">
        <v>884</v>
      </c>
      <c r="B1643" s="60" t="s">
        <v>885</v>
      </c>
      <c r="C1643" s="57"/>
      <c r="D1643" s="57"/>
      <c r="E1643" s="57"/>
      <c r="F1643" s="57"/>
      <c r="G1643" s="57"/>
      <c r="H1643" s="57"/>
      <c r="I1643" s="57"/>
      <c r="J1643" s="57"/>
      <c r="K1643" s="63"/>
      <c r="L1643" s="57"/>
      <c r="M1643" s="57"/>
      <c r="N1643" s="57"/>
      <c r="O1643" s="57"/>
      <c r="P1643" s="57"/>
      <c r="Q1643" s="57"/>
    </row>
    <row r="1644">
      <c r="A1644" s="60" t="s">
        <v>886</v>
      </c>
      <c r="B1644" s="60" t="s">
        <v>887</v>
      </c>
      <c r="C1644" s="57"/>
      <c r="D1644" s="57"/>
      <c r="E1644" s="57"/>
      <c r="F1644" s="57"/>
      <c r="G1644" s="57"/>
      <c r="H1644" s="57"/>
      <c r="I1644" s="57"/>
      <c r="J1644" s="57"/>
      <c r="K1644" s="63"/>
      <c r="L1644" s="57"/>
      <c r="M1644" s="57"/>
      <c r="N1644" s="57"/>
      <c r="O1644" s="57"/>
      <c r="P1644" s="57"/>
      <c r="Q1644" s="57"/>
    </row>
    <row r="1645">
      <c r="A1645" s="60" t="s">
        <v>888</v>
      </c>
      <c r="B1645" s="60" t="s">
        <v>838</v>
      </c>
      <c r="C1645" s="57"/>
      <c r="D1645" s="57"/>
      <c r="E1645" s="57"/>
      <c r="F1645" s="57"/>
      <c r="G1645" s="57"/>
      <c r="H1645" s="57"/>
      <c r="I1645" s="57"/>
      <c r="J1645" s="57"/>
      <c r="K1645" s="63"/>
      <c r="L1645" s="57"/>
      <c r="M1645" s="57"/>
      <c r="N1645" s="57"/>
      <c r="O1645" s="57"/>
      <c r="P1645" s="57"/>
      <c r="Q1645" s="57"/>
    </row>
    <row r="1646">
      <c r="A1646" s="60" t="s">
        <v>438</v>
      </c>
      <c r="B1646" s="60" t="s">
        <v>436</v>
      </c>
      <c r="C1646" s="57"/>
      <c r="D1646" s="57"/>
      <c r="E1646" s="57"/>
      <c r="F1646" s="57"/>
      <c r="G1646" s="57"/>
      <c r="H1646" s="57"/>
      <c r="I1646" s="57"/>
      <c r="J1646" s="57"/>
      <c r="K1646" s="63"/>
      <c r="L1646" s="57"/>
      <c r="M1646" s="57"/>
      <c r="N1646" s="57"/>
      <c r="O1646" s="57"/>
      <c r="P1646" s="57"/>
      <c r="Q1646" s="57"/>
    </row>
    <row r="1647">
      <c r="A1647" s="60" t="s">
        <v>439</v>
      </c>
      <c r="B1647" s="60" t="s">
        <v>440</v>
      </c>
      <c r="C1647" s="57"/>
      <c r="D1647" s="57"/>
      <c r="E1647" s="57"/>
      <c r="F1647" s="57"/>
      <c r="G1647" s="57"/>
      <c r="H1647" s="57"/>
      <c r="I1647" s="57"/>
      <c r="J1647" s="57"/>
      <c r="K1647" s="63"/>
      <c r="L1647" s="57"/>
      <c r="M1647" s="57"/>
      <c r="N1647" s="57"/>
      <c r="O1647" s="57"/>
      <c r="P1647" s="57"/>
      <c r="Q1647" s="57"/>
    </row>
    <row r="1648">
      <c r="A1648" s="60" t="s">
        <v>441</v>
      </c>
      <c r="B1648" s="60">
        <v>10.0</v>
      </c>
      <c r="C1648" s="57"/>
      <c r="D1648" s="57"/>
      <c r="E1648" s="57"/>
      <c r="F1648" s="57"/>
      <c r="G1648" s="57"/>
      <c r="H1648" s="57"/>
      <c r="I1648" s="57"/>
      <c r="J1648" s="57"/>
      <c r="K1648" s="63"/>
      <c r="L1648" s="57"/>
      <c r="M1648" s="57"/>
      <c r="N1648" s="57"/>
      <c r="O1648" s="57"/>
      <c r="P1648" s="57"/>
      <c r="Q1648" s="57"/>
    </row>
    <row r="1649">
      <c r="A1649" s="60" t="s">
        <v>467</v>
      </c>
      <c r="B1649" s="60" t="s">
        <v>464</v>
      </c>
      <c r="C1649" s="57"/>
      <c r="D1649" s="57"/>
      <c r="E1649" s="57"/>
      <c r="F1649" s="57"/>
      <c r="G1649" s="57"/>
      <c r="H1649" s="57"/>
      <c r="I1649" s="57"/>
      <c r="J1649" s="57"/>
      <c r="K1649" s="63"/>
      <c r="L1649" s="57"/>
      <c r="M1649" s="57"/>
      <c r="N1649" s="57"/>
      <c r="O1649" s="57"/>
      <c r="P1649" s="57"/>
      <c r="Q1649" s="57"/>
    </row>
    <row r="1650">
      <c r="A1650" s="60" t="s">
        <v>444</v>
      </c>
      <c r="B1650" s="60" t="s">
        <v>445</v>
      </c>
      <c r="C1650" s="57"/>
      <c r="D1650" s="57"/>
      <c r="E1650" s="57"/>
      <c r="F1650" s="57"/>
      <c r="G1650" s="57"/>
      <c r="H1650" s="57"/>
      <c r="I1650" s="57"/>
      <c r="J1650" s="57"/>
      <c r="K1650" s="63"/>
      <c r="L1650" s="57"/>
      <c r="M1650" s="57"/>
      <c r="N1650" s="57"/>
      <c r="O1650" s="57"/>
      <c r="P1650" s="57"/>
      <c r="Q1650" s="57"/>
    </row>
    <row r="1651">
      <c r="A1651" s="60" t="s">
        <v>446</v>
      </c>
      <c r="B1651" s="60" t="s">
        <v>445</v>
      </c>
      <c r="C1651" s="57"/>
      <c r="D1651" s="57"/>
      <c r="E1651" s="57"/>
      <c r="F1651" s="57"/>
      <c r="G1651" s="57"/>
      <c r="H1651" s="57"/>
      <c r="I1651" s="57"/>
      <c r="J1651" s="57"/>
      <c r="K1651" s="63"/>
      <c r="L1651" s="57"/>
      <c r="M1651" s="57"/>
      <c r="N1651" s="57"/>
      <c r="O1651" s="57"/>
      <c r="P1651" s="57"/>
      <c r="Q1651" s="57"/>
    </row>
    <row r="1652">
      <c r="A1652" s="60" t="s">
        <v>447</v>
      </c>
      <c r="B1652" s="60" t="s">
        <v>466</v>
      </c>
      <c r="C1652" s="57"/>
      <c r="D1652" s="57"/>
      <c r="E1652" s="57"/>
      <c r="F1652" s="57"/>
      <c r="G1652" s="57"/>
      <c r="H1652" s="57"/>
      <c r="I1652" s="57"/>
      <c r="J1652" s="57"/>
      <c r="K1652" s="63"/>
      <c r="L1652" s="57"/>
      <c r="M1652" s="57"/>
      <c r="N1652" s="57"/>
      <c r="O1652" s="57"/>
      <c r="P1652" s="57"/>
      <c r="Q1652" s="57"/>
    </row>
    <row r="1653">
      <c r="A1653" s="83" t="s">
        <v>276</v>
      </c>
      <c r="B1653" s="60" t="s">
        <v>468</v>
      </c>
      <c r="C1653" s="57"/>
      <c r="D1653" s="57"/>
      <c r="E1653" s="57"/>
      <c r="F1653" s="57"/>
      <c r="G1653" s="57"/>
      <c r="H1653" s="57"/>
      <c r="I1653" s="57"/>
      <c r="J1653" s="57"/>
      <c r="K1653" s="63"/>
      <c r="L1653" s="57"/>
      <c r="M1653" s="57"/>
      <c r="N1653" s="57"/>
      <c r="O1653" s="57"/>
      <c r="P1653" s="57"/>
      <c r="Q1653" s="57"/>
    </row>
    <row r="1654">
      <c r="A1654" s="60" t="s">
        <v>38</v>
      </c>
      <c r="B1654" s="60"/>
      <c r="C1654" s="57"/>
      <c r="D1654" s="57"/>
      <c r="E1654" s="57"/>
      <c r="F1654" s="57"/>
      <c r="G1654" s="57"/>
      <c r="H1654" s="57"/>
      <c r="I1654" s="57"/>
      <c r="J1654" s="57"/>
      <c r="K1654" s="66">
        <v>1461.0</v>
      </c>
      <c r="L1654" s="57">
        <f t="shared" ref="L1654:L1657" si="654">ROUNDDOWN(K1654*1.1,0)</f>
        <v>1607</v>
      </c>
      <c r="M1654" s="57">
        <f t="shared" ref="M1654:M1657" si="655">ROUNDDOWN(K1654*1.21,0)</f>
        <v>1767</v>
      </c>
      <c r="N1654" s="57">
        <f t="shared" ref="N1654:N1657" si="656">ROUNDDOWN(K1654*1.33,0)</f>
        <v>1943</v>
      </c>
      <c r="O1654" s="57">
        <f t="shared" ref="O1654:O1657" si="657">ROUNDDOWN(K1654*1.46,0)</f>
        <v>2133</v>
      </c>
      <c r="P1654" s="57">
        <f t="shared" ref="P1654:P1657" si="658">ROUNDDOWN(K1654*1.57,0)</f>
        <v>2293</v>
      </c>
      <c r="Q1654" s="57"/>
    </row>
    <row r="1655">
      <c r="A1655" s="60" t="s">
        <v>24</v>
      </c>
      <c r="B1655" s="60"/>
      <c r="C1655" s="57"/>
      <c r="D1655" s="57"/>
      <c r="E1655" s="57"/>
      <c r="F1655" s="57"/>
      <c r="G1655" s="57"/>
      <c r="H1655" s="57"/>
      <c r="I1655" s="57"/>
      <c r="J1655" s="57"/>
      <c r="K1655" s="66">
        <v>220.0</v>
      </c>
      <c r="L1655" s="57">
        <f t="shared" si="654"/>
        <v>242</v>
      </c>
      <c r="M1655" s="57">
        <f t="shared" si="655"/>
        <v>266</v>
      </c>
      <c r="N1655" s="57">
        <f t="shared" si="656"/>
        <v>292</v>
      </c>
      <c r="O1655" s="57">
        <f t="shared" si="657"/>
        <v>321</v>
      </c>
      <c r="P1655" s="57">
        <f t="shared" si="658"/>
        <v>345</v>
      </c>
      <c r="Q1655" s="57"/>
    </row>
    <row r="1656">
      <c r="A1656" s="60" t="s">
        <v>27</v>
      </c>
      <c r="B1656" s="60"/>
      <c r="C1656" s="57"/>
      <c r="D1656" s="57"/>
      <c r="E1656" s="57"/>
      <c r="F1656" s="57"/>
      <c r="G1656" s="57"/>
      <c r="H1656" s="57"/>
      <c r="I1656" s="57"/>
      <c r="J1656" s="57"/>
      <c r="K1656" s="66">
        <v>440.0</v>
      </c>
      <c r="L1656" s="57">
        <f t="shared" si="654"/>
        <v>484</v>
      </c>
      <c r="M1656" s="57">
        <f t="shared" si="655"/>
        <v>532</v>
      </c>
      <c r="N1656" s="57">
        <f t="shared" si="656"/>
        <v>585</v>
      </c>
      <c r="O1656" s="57">
        <f t="shared" si="657"/>
        <v>642</v>
      </c>
      <c r="P1656" s="57">
        <f t="shared" si="658"/>
        <v>690</v>
      </c>
      <c r="Q1656" s="57"/>
    </row>
    <row r="1657">
      <c r="A1657" s="60" t="s">
        <v>889</v>
      </c>
      <c r="B1657" s="60"/>
      <c r="C1657" s="57"/>
      <c r="D1657" s="57"/>
      <c r="E1657" s="57"/>
      <c r="F1657" s="57"/>
      <c r="G1657" s="57"/>
      <c r="H1657" s="57"/>
      <c r="I1657" s="57"/>
      <c r="J1657" s="57"/>
      <c r="K1657" s="66">
        <v>86.0</v>
      </c>
      <c r="L1657" s="57">
        <f t="shared" si="654"/>
        <v>94</v>
      </c>
      <c r="M1657" s="57">
        <f t="shared" si="655"/>
        <v>104</v>
      </c>
      <c r="N1657" s="57">
        <f t="shared" si="656"/>
        <v>114</v>
      </c>
      <c r="O1657" s="57">
        <f t="shared" si="657"/>
        <v>125</v>
      </c>
      <c r="P1657" s="57">
        <f t="shared" si="658"/>
        <v>135</v>
      </c>
      <c r="Q1657" s="57"/>
    </row>
    <row r="1658">
      <c r="A1658" s="60" t="s">
        <v>428</v>
      </c>
      <c r="B1658" s="60" t="s">
        <v>469</v>
      </c>
      <c r="C1658" s="57"/>
      <c r="D1658" s="57"/>
      <c r="E1658" s="57"/>
      <c r="F1658" s="57"/>
      <c r="G1658" s="57"/>
      <c r="H1658" s="57"/>
      <c r="I1658" s="57"/>
      <c r="J1658" s="57"/>
      <c r="K1658" s="63"/>
      <c r="L1658" s="57"/>
      <c r="M1658" s="57"/>
      <c r="N1658" s="57"/>
      <c r="O1658" s="57"/>
      <c r="P1658" s="57"/>
      <c r="Q1658" s="57"/>
    </row>
    <row r="1659">
      <c r="A1659" s="60" t="s">
        <v>55</v>
      </c>
      <c r="B1659" s="60" t="s">
        <v>430</v>
      </c>
      <c r="C1659" s="57"/>
      <c r="D1659" s="57"/>
      <c r="E1659" s="57"/>
      <c r="F1659" s="57"/>
      <c r="G1659" s="57"/>
      <c r="H1659" s="57"/>
      <c r="I1659" s="57"/>
      <c r="J1659" s="57"/>
      <c r="K1659" s="63"/>
      <c r="L1659" s="57"/>
      <c r="M1659" s="57"/>
      <c r="N1659" s="57"/>
      <c r="O1659" s="57"/>
      <c r="P1659" s="57"/>
      <c r="Q1659" s="57"/>
    </row>
    <row r="1660">
      <c r="A1660" s="60" t="s">
        <v>490</v>
      </c>
      <c r="B1660" s="60" t="s">
        <v>491</v>
      </c>
      <c r="C1660" s="57"/>
      <c r="D1660" s="57"/>
      <c r="E1660" s="57"/>
      <c r="F1660" s="57"/>
      <c r="G1660" s="57"/>
      <c r="H1660" s="57"/>
      <c r="I1660" s="57"/>
      <c r="J1660" s="57"/>
      <c r="K1660" s="63"/>
      <c r="L1660" s="57"/>
      <c r="M1660" s="57"/>
      <c r="N1660" s="57"/>
      <c r="O1660" s="57"/>
      <c r="P1660" s="57"/>
      <c r="Q1660" s="57"/>
    </row>
    <row r="1661">
      <c r="A1661" s="60" t="s">
        <v>51</v>
      </c>
      <c r="B1661" s="60" t="s">
        <v>451</v>
      </c>
      <c r="C1661" s="57"/>
      <c r="D1661" s="57"/>
      <c r="E1661" s="57"/>
      <c r="F1661" s="57"/>
      <c r="G1661" s="57"/>
      <c r="H1661" s="57"/>
      <c r="I1661" s="57"/>
      <c r="J1661" s="57"/>
      <c r="K1661" s="63"/>
      <c r="L1661" s="57"/>
      <c r="M1661" s="57"/>
      <c r="N1661" s="57"/>
      <c r="O1661" s="57"/>
      <c r="P1661" s="57"/>
      <c r="Q1661" s="57"/>
    </row>
    <row r="1662">
      <c r="A1662" s="60" t="s">
        <v>49</v>
      </c>
      <c r="B1662" s="60" t="s">
        <v>533</v>
      </c>
      <c r="C1662" s="57"/>
      <c r="D1662" s="57"/>
      <c r="E1662" s="57"/>
      <c r="F1662" s="57"/>
      <c r="G1662" s="57"/>
      <c r="H1662" s="57"/>
      <c r="I1662" s="57"/>
      <c r="J1662" s="57"/>
      <c r="K1662" s="63"/>
      <c r="L1662" s="57"/>
      <c r="M1662" s="57"/>
      <c r="N1662" s="57"/>
      <c r="O1662" s="57"/>
      <c r="P1662" s="57"/>
      <c r="Q1662" s="57"/>
    </row>
    <row r="1663">
      <c r="A1663" s="60" t="s">
        <v>432</v>
      </c>
      <c r="B1663" s="60" t="s">
        <v>452</v>
      </c>
      <c r="C1663" s="57"/>
      <c r="D1663" s="57"/>
      <c r="E1663" s="57"/>
      <c r="F1663" s="57"/>
      <c r="G1663" s="57"/>
      <c r="H1663" s="57"/>
      <c r="I1663" s="57"/>
      <c r="J1663" s="57"/>
      <c r="K1663" s="63"/>
      <c r="L1663" s="57"/>
      <c r="M1663" s="57"/>
      <c r="N1663" s="57"/>
      <c r="O1663" s="57"/>
      <c r="P1663" s="57"/>
      <c r="Q1663" s="57"/>
    </row>
    <row r="1664">
      <c r="A1664" s="60" t="s">
        <v>53</v>
      </c>
      <c r="B1664" s="60" t="s">
        <v>464</v>
      </c>
      <c r="C1664" s="57"/>
      <c r="D1664" s="57"/>
      <c r="E1664" s="57"/>
      <c r="F1664" s="57"/>
      <c r="G1664" s="57"/>
      <c r="H1664" s="57"/>
      <c r="I1664" s="57"/>
      <c r="J1664" s="57"/>
      <c r="K1664" s="63"/>
      <c r="L1664" s="57"/>
      <c r="M1664" s="57"/>
      <c r="N1664" s="57"/>
      <c r="O1664" s="57"/>
      <c r="P1664" s="57"/>
      <c r="Q1664" s="57"/>
    </row>
    <row r="1665">
      <c r="A1665" s="60" t="s">
        <v>50</v>
      </c>
      <c r="B1665" s="60" t="s">
        <v>109</v>
      </c>
      <c r="C1665" s="57"/>
      <c r="D1665" s="57"/>
      <c r="E1665" s="57"/>
      <c r="F1665" s="57"/>
      <c r="G1665" s="57"/>
      <c r="H1665" s="57"/>
      <c r="I1665" s="57"/>
      <c r="J1665" s="57"/>
      <c r="K1665" s="63"/>
      <c r="L1665" s="57"/>
      <c r="M1665" s="57"/>
      <c r="N1665" s="57"/>
      <c r="O1665" s="57"/>
      <c r="P1665" s="57"/>
      <c r="Q1665" s="57"/>
    </row>
    <row r="1666">
      <c r="A1666" s="60" t="s">
        <v>438</v>
      </c>
      <c r="B1666" s="60" t="s">
        <v>436</v>
      </c>
      <c r="C1666" s="57"/>
      <c r="D1666" s="57"/>
      <c r="E1666" s="57"/>
      <c r="F1666" s="57"/>
      <c r="G1666" s="57"/>
      <c r="H1666" s="57"/>
      <c r="I1666" s="57"/>
      <c r="J1666" s="57"/>
      <c r="K1666" s="63"/>
      <c r="L1666" s="57"/>
      <c r="M1666" s="57"/>
      <c r="N1666" s="57"/>
      <c r="O1666" s="57"/>
      <c r="P1666" s="57"/>
      <c r="Q1666" s="57"/>
    </row>
    <row r="1667">
      <c r="A1667" s="60" t="s">
        <v>439</v>
      </c>
      <c r="B1667" s="60" t="s">
        <v>502</v>
      </c>
      <c r="C1667" s="57"/>
      <c r="D1667" s="57"/>
      <c r="E1667" s="57"/>
      <c r="F1667" s="57"/>
      <c r="G1667" s="57"/>
      <c r="H1667" s="57"/>
      <c r="I1667" s="57"/>
      <c r="J1667" s="57"/>
      <c r="K1667" s="63"/>
      <c r="L1667" s="57"/>
      <c r="M1667" s="57"/>
      <c r="N1667" s="57"/>
      <c r="O1667" s="57"/>
      <c r="P1667" s="57"/>
      <c r="Q1667" s="57"/>
    </row>
    <row r="1668">
      <c r="A1668" s="60" t="s">
        <v>441</v>
      </c>
      <c r="B1668" s="60">
        <v>4.0</v>
      </c>
      <c r="C1668" s="57"/>
      <c r="D1668" s="57"/>
      <c r="E1668" s="57"/>
      <c r="F1668" s="57"/>
      <c r="G1668" s="57"/>
      <c r="H1668" s="57"/>
      <c r="I1668" s="57"/>
      <c r="J1668" s="57"/>
      <c r="K1668" s="63"/>
      <c r="L1668" s="57"/>
      <c r="M1668" s="57"/>
      <c r="N1668" s="57"/>
      <c r="O1668" s="57"/>
      <c r="P1668" s="57"/>
      <c r="Q1668" s="57"/>
    </row>
    <row r="1669">
      <c r="A1669" s="60" t="s">
        <v>514</v>
      </c>
      <c r="B1669" s="60" t="s">
        <v>424</v>
      </c>
      <c r="C1669" s="57"/>
      <c r="D1669" s="57"/>
      <c r="E1669" s="57"/>
      <c r="F1669" s="57"/>
      <c r="G1669" s="57"/>
      <c r="H1669" s="57"/>
      <c r="I1669" s="57"/>
      <c r="J1669" s="57"/>
      <c r="K1669" s="63"/>
      <c r="L1669" s="57"/>
      <c r="M1669" s="57"/>
      <c r="N1669" s="57"/>
      <c r="O1669" s="57"/>
      <c r="P1669" s="57"/>
      <c r="Q1669" s="57"/>
    </row>
    <row r="1670">
      <c r="A1670" s="60" t="s">
        <v>515</v>
      </c>
      <c r="B1670" s="60" t="s">
        <v>516</v>
      </c>
      <c r="C1670" s="57"/>
      <c r="D1670" s="57"/>
      <c r="E1670" s="57"/>
      <c r="F1670" s="57"/>
      <c r="G1670" s="57"/>
      <c r="H1670" s="57"/>
      <c r="I1670" s="57"/>
      <c r="J1670" s="57"/>
      <c r="K1670" s="63"/>
      <c r="L1670" s="57"/>
      <c r="M1670" s="57"/>
      <c r="N1670" s="57"/>
      <c r="O1670" s="57"/>
      <c r="P1670" s="57"/>
      <c r="Q1670" s="57"/>
    </row>
    <row r="1671">
      <c r="A1671" s="60" t="s">
        <v>506</v>
      </c>
      <c r="B1671" s="60">
        <v>1.0</v>
      </c>
      <c r="C1671" s="57"/>
      <c r="D1671" s="57"/>
      <c r="E1671" s="57"/>
      <c r="F1671" s="57"/>
      <c r="G1671" s="57"/>
      <c r="H1671" s="57"/>
      <c r="I1671" s="57"/>
      <c r="J1671" s="57"/>
      <c r="K1671" s="63"/>
      <c r="L1671" s="57"/>
      <c r="M1671" s="57"/>
      <c r="N1671" s="57"/>
      <c r="O1671" s="57"/>
      <c r="P1671" s="57"/>
      <c r="Q1671" s="57"/>
    </row>
    <row r="1672">
      <c r="A1672" s="60" t="s">
        <v>508</v>
      </c>
      <c r="B1672" s="60" t="s">
        <v>277</v>
      </c>
      <c r="C1672" s="57"/>
      <c r="D1672" s="57"/>
      <c r="E1672" s="57"/>
      <c r="F1672" s="57"/>
      <c r="G1672" s="57"/>
      <c r="H1672" s="57"/>
      <c r="I1672" s="57"/>
      <c r="J1672" s="57"/>
      <c r="K1672" s="63"/>
      <c r="L1672" s="57"/>
      <c r="M1672" s="57"/>
      <c r="N1672" s="57"/>
      <c r="O1672" s="57"/>
      <c r="P1672" s="57"/>
      <c r="Q1672" s="57"/>
    </row>
    <row r="1673">
      <c r="A1673" s="60" t="s">
        <v>777</v>
      </c>
      <c r="B1673" s="60" t="s">
        <v>436</v>
      </c>
      <c r="C1673" s="57"/>
      <c r="D1673" s="57"/>
      <c r="E1673" s="57"/>
      <c r="F1673" s="57"/>
      <c r="G1673" s="57"/>
      <c r="H1673" s="57"/>
      <c r="I1673" s="57"/>
      <c r="J1673" s="57"/>
      <c r="K1673" s="63"/>
      <c r="L1673" s="57"/>
      <c r="M1673" s="57"/>
      <c r="N1673" s="57"/>
      <c r="O1673" s="57"/>
      <c r="P1673" s="57"/>
      <c r="Q1673" s="57"/>
    </row>
    <row r="1674">
      <c r="A1674" s="60" t="s">
        <v>444</v>
      </c>
      <c r="B1674" s="60" t="s">
        <v>445</v>
      </c>
      <c r="C1674" s="57"/>
      <c r="D1674" s="57"/>
      <c r="E1674" s="57"/>
      <c r="F1674" s="57"/>
      <c r="G1674" s="57"/>
      <c r="H1674" s="57"/>
      <c r="I1674" s="57"/>
      <c r="J1674" s="57"/>
      <c r="K1674" s="63"/>
      <c r="L1674" s="57"/>
      <c r="M1674" s="57"/>
      <c r="N1674" s="57"/>
      <c r="O1674" s="57"/>
      <c r="P1674" s="57"/>
      <c r="Q1674" s="57"/>
    </row>
    <row r="1675">
      <c r="A1675" s="60" t="s">
        <v>446</v>
      </c>
      <c r="B1675" s="60" t="s">
        <v>445</v>
      </c>
      <c r="C1675" s="57"/>
      <c r="D1675" s="57"/>
      <c r="E1675" s="57"/>
      <c r="F1675" s="57"/>
      <c r="G1675" s="57"/>
      <c r="H1675" s="57"/>
      <c r="I1675" s="57"/>
      <c r="J1675" s="57"/>
      <c r="K1675" s="63"/>
      <c r="L1675" s="57"/>
      <c r="M1675" s="57"/>
      <c r="N1675" s="57"/>
      <c r="O1675" s="57"/>
      <c r="P1675" s="57"/>
      <c r="Q1675" s="57"/>
    </row>
    <row r="1676">
      <c r="A1676" s="60" t="s">
        <v>495</v>
      </c>
      <c r="B1676" s="60" t="s">
        <v>482</v>
      </c>
      <c r="C1676" s="57"/>
      <c r="D1676" s="57"/>
      <c r="E1676" s="57"/>
      <c r="F1676" s="57"/>
      <c r="G1676" s="57"/>
      <c r="H1676" s="57"/>
      <c r="I1676" s="57"/>
      <c r="J1676" s="57"/>
      <c r="K1676" s="63"/>
      <c r="L1676" s="57"/>
      <c r="M1676" s="57"/>
      <c r="N1676" s="57"/>
      <c r="O1676" s="57"/>
      <c r="P1676" s="57"/>
      <c r="Q1676" s="57"/>
    </row>
    <row r="1677">
      <c r="A1677" s="60" t="s">
        <v>890</v>
      </c>
      <c r="B1677" s="60" t="s">
        <v>429</v>
      </c>
      <c r="C1677" s="57"/>
      <c r="D1677" s="57"/>
      <c r="E1677" s="57"/>
      <c r="F1677" s="57"/>
      <c r="G1677" s="57"/>
      <c r="H1677" s="57"/>
      <c r="I1677" s="57"/>
      <c r="J1677" s="57"/>
      <c r="K1677" s="63"/>
      <c r="L1677" s="57"/>
      <c r="M1677" s="57"/>
      <c r="N1677" s="57"/>
      <c r="O1677" s="57"/>
      <c r="P1677" s="57"/>
      <c r="Q1677" s="57"/>
    </row>
    <row r="1678">
      <c r="A1678" s="60" t="s">
        <v>891</v>
      </c>
      <c r="B1678" s="60" t="s">
        <v>453</v>
      </c>
      <c r="C1678" s="57"/>
      <c r="D1678" s="57"/>
      <c r="E1678" s="57"/>
      <c r="F1678" s="57"/>
      <c r="G1678" s="57"/>
      <c r="H1678" s="57"/>
      <c r="I1678" s="57"/>
      <c r="J1678" s="57"/>
      <c r="K1678" s="63"/>
      <c r="L1678" s="57"/>
      <c r="M1678" s="57"/>
      <c r="N1678" s="57"/>
      <c r="O1678" s="57"/>
      <c r="P1678" s="57"/>
      <c r="Q1678" s="57"/>
    </row>
    <row r="1679">
      <c r="A1679" s="60" t="s">
        <v>892</v>
      </c>
      <c r="B1679" s="60" t="s">
        <v>457</v>
      </c>
      <c r="C1679" s="57"/>
      <c r="D1679" s="57"/>
      <c r="E1679" s="57"/>
      <c r="F1679" s="57"/>
      <c r="G1679" s="57"/>
      <c r="H1679" s="57"/>
      <c r="I1679" s="57"/>
      <c r="J1679" s="57"/>
      <c r="K1679" s="63"/>
      <c r="L1679" s="57"/>
      <c r="M1679" s="57"/>
      <c r="N1679" s="57"/>
      <c r="O1679" s="57"/>
      <c r="P1679" s="57"/>
      <c r="Q1679" s="57"/>
    </row>
    <row r="1680">
      <c r="A1680" s="60" t="s">
        <v>893</v>
      </c>
      <c r="B1680" s="60" t="s">
        <v>454</v>
      </c>
      <c r="C1680" s="57"/>
      <c r="D1680" s="57"/>
      <c r="E1680" s="57"/>
      <c r="F1680" s="57"/>
      <c r="G1680" s="57"/>
      <c r="H1680" s="57"/>
      <c r="I1680" s="57"/>
      <c r="J1680" s="57"/>
      <c r="K1680" s="63"/>
      <c r="L1680" s="57"/>
      <c r="M1680" s="57"/>
      <c r="N1680" s="57"/>
      <c r="O1680" s="57"/>
      <c r="P1680" s="57"/>
      <c r="Q1680" s="57"/>
    </row>
    <row r="1681">
      <c r="A1681" s="60" t="s">
        <v>894</v>
      </c>
      <c r="B1681" s="60" t="s">
        <v>436</v>
      </c>
      <c r="C1681" s="57"/>
      <c r="D1681" s="57"/>
      <c r="E1681" s="57"/>
      <c r="F1681" s="57"/>
      <c r="G1681" s="57"/>
      <c r="H1681" s="57"/>
      <c r="I1681" s="57"/>
      <c r="J1681" s="57"/>
      <c r="K1681" s="63"/>
      <c r="L1681" s="57"/>
      <c r="M1681" s="57"/>
      <c r="N1681" s="57"/>
      <c r="O1681" s="57"/>
      <c r="P1681" s="57"/>
      <c r="Q1681" s="57"/>
    </row>
    <row r="1682">
      <c r="A1682" s="60" t="s">
        <v>895</v>
      </c>
      <c r="B1682" s="82">
        <v>-0.85</v>
      </c>
      <c r="C1682" s="57"/>
      <c r="D1682" s="57"/>
      <c r="E1682" s="57"/>
      <c r="F1682" s="57"/>
      <c r="G1682" s="57"/>
      <c r="H1682" s="57"/>
      <c r="I1682" s="57"/>
      <c r="J1682" s="57"/>
      <c r="K1682" s="63"/>
      <c r="L1682" s="57"/>
      <c r="M1682" s="57"/>
      <c r="N1682" s="57"/>
      <c r="O1682" s="57"/>
      <c r="P1682" s="57"/>
      <c r="Q1682" s="57"/>
    </row>
    <row r="1683">
      <c r="A1683" s="60" t="s">
        <v>896</v>
      </c>
      <c r="B1683" s="60" t="s">
        <v>602</v>
      </c>
      <c r="C1683" s="57"/>
      <c r="D1683" s="57"/>
      <c r="E1683" s="57"/>
      <c r="F1683" s="57"/>
      <c r="G1683" s="57"/>
      <c r="H1683" s="57"/>
      <c r="I1683" s="57"/>
      <c r="J1683" s="57"/>
      <c r="K1683" s="63"/>
      <c r="L1683" s="57"/>
      <c r="M1683" s="57"/>
      <c r="N1683" s="57"/>
      <c r="O1683" s="57"/>
      <c r="P1683" s="57"/>
      <c r="Q1683" s="57"/>
    </row>
    <row r="1684">
      <c r="A1684" s="60" t="s">
        <v>897</v>
      </c>
      <c r="B1684" s="60" t="s">
        <v>498</v>
      </c>
      <c r="C1684" s="57"/>
      <c r="D1684" s="57"/>
      <c r="E1684" s="57"/>
      <c r="F1684" s="57"/>
      <c r="G1684" s="57"/>
      <c r="H1684" s="57"/>
      <c r="I1684" s="57"/>
      <c r="J1684" s="57"/>
      <c r="K1684" s="63"/>
      <c r="L1684" s="57"/>
      <c r="M1684" s="57"/>
      <c r="N1684" s="57"/>
      <c r="O1684" s="57"/>
      <c r="P1684" s="57"/>
      <c r="Q1684" s="57"/>
    </row>
    <row r="1685">
      <c r="A1685" s="60" t="s">
        <v>898</v>
      </c>
      <c r="B1685" s="60" t="s">
        <v>421</v>
      </c>
      <c r="C1685" s="57"/>
      <c r="D1685" s="57"/>
      <c r="E1685" s="57"/>
      <c r="F1685" s="57"/>
      <c r="G1685" s="57"/>
      <c r="H1685" s="57"/>
      <c r="I1685" s="57"/>
      <c r="J1685" s="57"/>
      <c r="K1685" s="63"/>
      <c r="L1685" s="57"/>
      <c r="M1685" s="57"/>
      <c r="N1685" s="57"/>
      <c r="O1685" s="57"/>
      <c r="P1685" s="57"/>
      <c r="Q1685" s="57"/>
    </row>
    <row r="1686">
      <c r="A1686" s="60" t="s">
        <v>899</v>
      </c>
      <c r="B1686" s="60" t="s">
        <v>429</v>
      </c>
      <c r="C1686" s="57"/>
      <c r="D1686" s="57"/>
      <c r="E1686" s="57"/>
      <c r="F1686" s="57"/>
      <c r="G1686" s="57"/>
      <c r="H1686" s="57"/>
      <c r="I1686" s="57"/>
      <c r="J1686" s="57"/>
      <c r="K1686" s="63"/>
      <c r="L1686" s="57"/>
      <c r="M1686" s="57"/>
      <c r="N1686" s="57"/>
      <c r="O1686" s="57"/>
      <c r="P1686" s="57"/>
      <c r="Q1686" s="57"/>
    </row>
    <row r="1687">
      <c r="A1687" s="60" t="s">
        <v>900</v>
      </c>
      <c r="B1687" s="60" t="s">
        <v>802</v>
      </c>
      <c r="C1687" s="57"/>
      <c r="D1687" s="57"/>
      <c r="E1687" s="57"/>
      <c r="F1687" s="57"/>
      <c r="G1687" s="57"/>
      <c r="H1687" s="57"/>
      <c r="I1687" s="57"/>
      <c r="J1687" s="57"/>
      <c r="K1687" s="63"/>
      <c r="L1687" s="57"/>
      <c r="M1687" s="57"/>
      <c r="N1687" s="57"/>
      <c r="O1687" s="57"/>
      <c r="P1687" s="57"/>
      <c r="Q1687" s="57"/>
    </row>
    <row r="1688">
      <c r="A1688" s="60" t="s">
        <v>901</v>
      </c>
      <c r="B1688" s="60">
        <v>3.0</v>
      </c>
      <c r="C1688" s="57"/>
      <c r="D1688" s="57"/>
      <c r="E1688" s="57"/>
      <c r="F1688" s="57"/>
      <c r="G1688" s="57"/>
      <c r="H1688" s="57"/>
      <c r="I1688" s="57"/>
      <c r="J1688" s="57"/>
      <c r="K1688" s="63"/>
      <c r="L1688" s="57"/>
      <c r="M1688" s="57"/>
      <c r="N1688" s="57"/>
      <c r="O1688" s="57"/>
      <c r="P1688" s="57"/>
      <c r="Q1688" s="57"/>
    </row>
    <row r="1689">
      <c r="A1689" s="60" t="s">
        <v>902</v>
      </c>
      <c r="B1689" s="60" t="s">
        <v>653</v>
      </c>
      <c r="C1689" s="57"/>
      <c r="D1689" s="57"/>
      <c r="E1689" s="57"/>
      <c r="F1689" s="57"/>
      <c r="G1689" s="57"/>
      <c r="H1689" s="57"/>
      <c r="I1689" s="57"/>
      <c r="J1689" s="57"/>
      <c r="K1689" s="63"/>
      <c r="L1689" s="57"/>
      <c r="M1689" s="57"/>
      <c r="N1689" s="57"/>
      <c r="O1689" s="57"/>
      <c r="P1689" s="57"/>
      <c r="Q1689" s="57"/>
    </row>
    <row r="1690">
      <c r="A1690" s="60" t="s">
        <v>903</v>
      </c>
      <c r="B1690" s="60" t="s">
        <v>464</v>
      </c>
      <c r="C1690" s="57"/>
      <c r="D1690" s="57"/>
      <c r="E1690" s="57"/>
      <c r="F1690" s="57"/>
      <c r="G1690" s="57"/>
      <c r="H1690" s="57"/>
      <c r="I1690" s="57"/>
      <c r="J1690" s="57"/>
      <c r="K1690" s="63"/>
      <c r="L1690" s="57"/>
      <c r="M1690" s="57"/>
      <c r="N1690" s="57"/>
      <c r="O1690" s="57"/>
      <c r="P1690" s="57"/>
      <c r="Q1690" s="57"/>
    </row>
    <row r="1691">
      <c r="A1691" s="60" t="s">
        <v>904</v>
      </c>
      <c r="B1691" s="60" t="s">
        <v>440</v>
      </c>
      <c r="C1691" s="57"/>
      <c r="D1691" s="57"/>
      <c r="E1691" s="57"/>
      <c r="F1691" s="57"/>
      <c r="G1691" s="57"/>
      <c r="H1691" s="57"/>
      <c r="I1691" s="57"/>
      <c r="J1691" s="57"/>
      <c r="K1691" s="63"/>
      <c r="L1691" s="57"/>
      <c r="M1691" s="57"/>
      <c r="N1691" s="57"/>
      <c r="O1691" s="57"/>
      <c r="P1691" s="57"/>
      <c r="Q1691" s="57"/>
    </row>
    <row r="1692">
      <c r="A1692" s="60" t="s">
        <v>905</v>
      </c>
      <c r="B1692" s="60" t="s">
        <v>906</v>
      </c>
      <c r="C1692" s="57"/>
      <c r="D1692" s="57"/>
      <c r="E1692" s="57"/>
      <c r="F1692" s="57"/>
      <c r="G1692" s="57"/>
      <c r="H1692" s="57"/>
      <c r="I1692" s="57"/>
      <c r="J1692" s="57"/>
      <c r="K1692" s="63"/>
      <c r="L1692" s="57"/>
      <c r="M1692" s="57"/>
      <c r="N1692" s="57"/>
      <c r="O1692" s="57"/>
      <c r="P1692" s="57"/>
      <c r="Q1692" s="57"/>
    </row>
    <row r="1693">
      <c r="A1693" s="67" t="s">
        <v>282</v>
      </c>
      <c r="B1693" s="60" t="s">
        <v>459</v>
      </c>
      <c r="C1693" s="57"/>
      <c r="D1693" s="57"/>
      <c r="E1693" s="57"/>
      <c r="F1693" s="57"/>
      <c r="G1693" s="57"/>
      <c r="H1693" s="57"/>
      <c r="I1693" s="57"/>
      <c r="J1693" s="57"/>
      <c r="K1693" s="63"/>
      <c r="L1693" s="57"/>
      <c r="M1693" s="57"/>
      <c r="N1693" s="57"/>
      <c r="O1693" s="57"/>
      <c r="P1693" s="57"/>
      <c r="Q1693" s="57"/>
    </row>
    <row r="1694">
      <c r="A1694" s="60" t="s">
        <v>38</v>
      </c>
      <c r="B1694" s="26"/>
      <c r="C1694" s="65">
        <v>450.0</v>
      </c>
      <c r="D1694" s="57">
        <f t="shared" ref="D1694:D1695" si="659">ROUNDDOWN(C1694*1.1,0)</f>
        <v>495</v>
      </c>
      <c r="E1694" s="57">
        <f t="shared" ref="E1694:E1695" si="660">ROUNDDOWN(C1694*1.21,0)</f>
        <v>544</v>
      </c>
      <c r="F1694" s="57">
        <f t="shared" ref="F1694:F1695" si="661">ROUNDDOWN(C1694*1.33,0)</f>
        <v>598</v>
      </c>
      <c r="G1694" s="57">
        <f t="shared" ref="G1694:G1695" si="662">ROUNDDOWN(C1694*1.46,0)</f>
        <v>657</v>
      </c>
      <c r="H1694" s="57">
        <f t="shared" ref="H1694:H1695" si="663">ROUNDDOWN(C1694*1.6,0)</f>
        <v>720</v>
      </c>
      <c r="I1694" s="57">
        <f t="shared" ref="I1694:I1695" si="664">ROUNDDOWN(C1694*1.76,0)</f>
        <v>792</v>
      </c>
      <c r="J1694" s="57">
        <f t="shared" ref="J1694:J1695" si="665">ROUNDDOWN(C1694*1.93,0)</f>
        <v>868</v>
      </c>
      <c r="K1694" s="63">
        <f t="shared" ref="K1694:K1695" si="666">ROUNDDOWN(C1694*2.12,0)</f>
        <v>954</v>
      </c>
      <c r="L1694" s="57">
        <f t="shared" ref="L1694:L1695" si="667">ROUNDDOWN(C1694*2.33,0)</f>
        <v>1048</v>
      </c>
      <c r="M1694" s="57">
        <f t="shared" ref="M1694:M1695" si="668">ROUNDDOWN(C1694*2.56,0)</f>
        <v>1152</v>
      </c>
      <c r="N1694" s="57">
        <f t="shared" ref="N1694:N1695" si="669">ROUNDDOWN(C1694*2.81,0)</f>
        <v>1264</v>
      </c>
      <c r="O1694" s="57">
        <f t="shared" ref="O1694:O1695" si="670">ROUNDDOWN(C1694*3.09,0)</f>
        <v>1390</v>
      </c>
      <c r="P1694" s="57">
        <f t="shared" ref="P1694:P1695" si="671">ROUNDDOWN(C1694*3.39,0)</f>
        <v>1525</v>
      </c>
      <c r="Q1694" s="57"/>
    </row>
    <row r="1695">
      <c r="A1695" s="60" t="s">
        <v>24</v>
      </c>
      <c r="B1695" s="60"/>
      <c r="C1695" s="65">
        <v>90.0</v>
      </c>
      <c r="D1695" s="57">
        <f t="shared" si="659"/>
        <v>99</v>
      </c>
      <c r="E1695" s="57">
        <f t="shared" si="660"/>
        <v>108</v>
      </c>
      <c r="F1695" s="57">
        <f t="shared" si="661"/>
        <v>119</v>
      </c>
      <c r="G1695" s="57">
        <f t="shared" si="662"/>
        <v>131</v>
      </c>
      <c r="H1695" s="57">
        <f t="shared" si="663"/>
        <v>144</v>
      </c>
      <c r="I1695" s="57">
        <f t="shared" si="664"/>
        <v>158</v>
      </c>
      <c r="J1695" s="57">
        <f t="shared" si="665"/>
        <v>173</v>
      </c>
      <c r="K1695" s="63">
        <f t="shared" si="666"/>
        <v>190</v>
      </c>
      <c r="L1695" s="57">
        <f t="shared" si="667"/>
        <v>209</v>
      </c>
      <c r="M1695" s="57">
        <f t="shared" si="668"/>
        <v>230</v>
      </c>
      <c r="N1695" s="57">
        <f t="shared" si="669"/>
        <v>252</v>
      </c>
      <c r="O1695" s="57">
        <f t="shared" si="670"/>
        <v>278</v>
      </c>
      <c r="P1695" s="57">
        <f t="shared" si="671"/>
        <v>305</v>
      </c>
      <c r="Q1695" s="57"/>
    </row>
    <row r="1696">
      <c r="A1696" s="60" t="s">
        <v>428</v>
      </c>
      <c r="B1696" s="60" t="s">
        <v>429</v>
      </c>
      <c r="C1696" s="57"/>
      <c r="D1696" s="57"/>
      <c r="E1696" s="57"/>
      <c r="F1696" s="57"/>
      <c r="G1696" s="57"/>
      <c r="H1696" s="57"/>
      <c r="I1696" s="57"/>
      <c r="J1696" s="57"/>
      <c r="K1696" s="63"/>
      <c r="L1696" s="57"/>
      <c r="M1696" s="57"/>
      <c r="N1696" s="57"/>
      <c r="O1696" s="57"/>
      <c r="P1696" s="57"/>
      <c r="Q1696" s="57"/>
    </row>
    <row r="1697">
      <c r="A1697" s="60" t="s">
        <v>55</v>
      </c>
      <c r="B1697" s="60" t="s">
        <v>430</v>
      </c>
      <c r="C1697" s="57"/>
      <c r="D1697" s="57"/>
      <c r="E1697" s="57"/>
      <c r="F1697" s="57"/>
      <c r="G1697" s="57"/>
      <c r="H1697" s="57"/>
      <c r="I1697" s="57"/>
      <c r="J1697" s="57"/>
      <c r="K1697" s="63"/>
      <c r="L1697" s="57"/>
      <c r="M1697" s="57"/>
      <c r="N1697" s="57"/>
      <c r="O1697" s="57"/>
      <c r="P1697" s="57"/>
      <c r="Q1697" s="57"/>
    </row>
    <row r="1698">
      <c r="A1698" s="60" t="s">
        <v>49</v>
      </c>
      <c r="B1698" s="60" t="s">
        <v>453</v>
      </c>
      <c r="C1698" s="57"/>
      <c r="D1698" s="57"/>
      <c r="E1698" s="57"/>
      <c r="F1698" s="57"/>
      <c r="G1698" s="57"/>
      <c r="H1698" s="57"/>
      <c r="I1698" s="57"/>
      <c r="J1698" s="57"/>
      <c r="K1698" s="63"/>
      <c r="L1698" s="57"/>
      <c r="M1698" s="57"/>
      <c r="N1698" s="57"/>
      <c r="O1698" s="57"/>
      <c r="P1698" s="57"/>
      <c r="Q1698" s="57"/>
    </row>
    <row r="1699">
      <c r="A1699" s="60" t="s">
        <v>432</v>
      </c>
      <c r="B1699" s="60" t="s">
        <v>645</v>
      </c>
      <c r="C1699" s="57"/>
      <c r="D1699" s="57"/>
      <c r="E1699" s="57"/>
      <c r="F1699" s="57"/>
      <c r="G1699" s="57"/>
      <c r="H1699" s="57"/>
      <c r="I1699" s="57"/>
      <c r="J1699" s="57"/>
      <c r="K1699" s="63"/>
      <c r="L1699" s="57"/>
      <c r="M1699" s="57"/>
      <c r="N1699" s="57"/>
      <c r="O1699" s="57"/>
      <c r="P1699" s="57"/>
      <c r="Q1699" s="57"/>
    </row>
    <row r="1700">
      <c r="A1700" s="60" t="s">
        <v>53</v>
      </c>
      <c r="B1700" s="60" t="s">
        <v>429</v>
      </c>
      <c r="C1700" s="57"/>
      <c r="D1700" s="57"/>
      <c r="E1700" s="57"/>
      <c r="F1700" s="57"/>
      <c r="G1700" s="57"/>
      <c r="H1700" s="57"/>
      <c r="I1700" s="57"/>
      <c r="J1700" s="57"/>
      <c r="K1700" s="63"/>
      <c r="L1700" s="57"/>
      <c r="M1700" s="57"/>
      <c r="N1700" s="57"/>
      <c r="O1700" s="57"/>
      <c r="P1700" s="57"/>
      <c r="Q1700" s="57"/>
    </row>
    <row r="1701">
      <c r="A1701" s="60" t="s">
        <v>50</v>
      </c>
      <c r="B1701" s="60" t="s">
        <v>425</v>
      </c>
      <c r="C1701" s="57"/>
      <c r="D1701" s="57"/>
      <c r="E1701" s="57"/>
      <c r="F1701" s="57"/>
      <c r="G1701" s="57"/>
      <c r="H1701" s="57"/>
      <c r="I1701" s="57"/>
      <c r="J1701" s="57"/>
      <c r="K1701" s="63"/>
      <c r="L1701" s="57"/>
      <c r="M1701" s="57"/>
      <c r="N1701" s="57"/>
      <c r="O1701" s="57"/>
      <c r="P1701" s="57"/>
      <c r="Q1701" s="57"/>
    </row>
    <row r="1702">
      <c r="A1702" s="60" t="s">
        <v>56</v>
      </c>
      <c r="B1702" s="60" t="s">
        <v>907</v>
      </c>
      <c r="C1702" s="57"/>
      <c r="D1702" s="57"/>
      <c r="E1702" s="57"/>
      <c r="F1702" s="57"/>
      <c r="G1702" s="57"/>
      <c r="H1702" s="57"/>
      <c r="I1702" s="57"/>
      <c r="J1702" s="57"/>
      <c r="K1702" s="63"/>
      <c r="L1702" s="57"/>
      <c r="M1702" s="57"/>
      <c r="N1702" s="57"/>
      <c r="O1702" s="57"/>
      <c r="P1702" s="57"/>
      <c r="Q1702" s="57"/>
    </row>
    <row r="1703">
      <c r="A1703" s="60" t="s">
        <v>439</v>
      </c>
      <c r="B1703" s="60" t="s">
        <v>440</v>
      </c>
      <c r="C1703" s="57"/>
      <c r="D1703" s="57"/>
      <c r="E1703" s="57"/>
      <c r="F1703" s="57"/>
      <c r="G1703" s="57"/>
      <c r="H1703" s="57"/>
      <c r="I1703" s="57"/>
      <c r="J1703" s="57"/>
      <c r="K1703" s="63"/>
      <c r="L1703" s="57"/>
      <c r="M1703" s="57"/>
      <c r="N1703" s="57"/>
      <c r="O1703" s="57"/>
      <c r="P1703" s="57"/>
      <c r="Q1703" s="57"/>
    </row>
    <row r="1704">
      <c r="A1704" s="60" t="s">
        <v>444</v>
      </c>
      <c r="B1704" s="60" t="s">
        <v>505</v>
      </c>
      <c r="C1704" s="57"/>
      <c r="D1704" s="57"/>
      <c r="E1704" s="57"/>
      <c r="F1704" s="57"/>
      <c r="G1704" s="57"/>
      <c r="H1704" s="57"/>
      <c r="I1704" s="57"/>
      <c r="J1704" s="57"/>
      <c r="K1704" s="63"/>
      <c r="L1704" s="57"/>
      <c r="M1704" s="57"/>
      <c r="N1704" s="57"/>
      <c r="O1704" s="57"/>
      <c r="P1704" s="57"/>
      <c r="Q1704" s="57"/>
    </row>
    <row r="1705">
      <c r="A1705" s="60" t="s">
        <v>446</v>
      </c>
      <c r="B1705" s="60" t="s">
        <v>505</v>
      </c>
      <c r="C1705" s="57"/>
      <c r="D1705" s="57"/>
      <c r="E1705" s="57"/>
      <c r="F1705" s="57"/>
      <c r="G1705" s="57"/>
      <c r="H1705" s="57"/>
      <c r="I1705" s="57"/>
      <c r="J1705" s="57"/>
      <c r="K1705" s="63"/>
      <c r="L1705" s="57"/>
      <c r="M1705" s="57"/>
      <c r="N1705" s="57"/>
      <c r="O1705" s="57"/>
      <c r="P1705" s="57"/>
      <c r="Q1705" s="57"/>
    </row>
    <row r="1706">
      <c r="A1706" s="60" t="s">
        <v>908</v>
      </c>
      <c r="B1706" s="60" t="s">
        <v>683</v>
      </c>
      <c r="C1706" s="57"/>
      <c r="D1706" s="57"/>
      <c r="E1706" s="57"/>
      <c r="F1706" s="57"/>
      <c r="G1706" s="57"/>
      <c r="H1706" s="57"/>
      <c r="I1706" s="57"/>
      <c r="J1706" s="57"/>
      <c r="K1706" s="63"/>
      <c r="L1706" s="57"/>
      <c r="M1706" s="57"/>
      <c r="N1706" s="57"/>
      <c r="O1706" s="57"/>
      <c r="P1706" s="57"/>
      <c r="Q1706" s="57"/>
    </row>
    <row r="1707">
      <c r="A1707" s="60" t="s">
        <v>909</v>
      </c>
      <c r="B1707" s="60" t="s">
        <v>683</v>
      </c>
      <c r="C1707" s="57"/>
      <c r="D1707" s="57"/>
      <c r="E1707" s="57"/>
      <c r="F1707" s="57"/>
      <c r="G1707" s="57"/>
      <c r="H1707" s="57"/>
      <c r="I1707" s="57"/>
      <c r="J1707" s="57"/>
      <c r="K1707" s="63"/>
      <c r="L1707" s="57"/>
      <c r="M1707" s="57"/>
      <c r="N1707" s="57"/>
      <c r="O1707" s="57"/>
      <c r="P1707" s="57"/>
      <c r="Q1707" s="57"/>
    </row>
    <row r="1708">
      <c r="A1708" s="67" t="s">
        <v>284</v>
      </c>
      <c r="B1708" s="60" t="s">
        <v>535</v>
      </c>
      <c r="C1708" s="57"/>
      <c r="D1708" s="57"/>
      <c r="E1708" s="57"/>
      <c r="F1708" s="57"/>
      <c r="G1708" s="57"/>
      <c r="H1708" s="57"/>
      <c r="I1708" s="57"/>
      <c r="J1708" s="57"/>
      <c r="K1708" s="63"/>
      <c r="L1708" s="57"/>
      <c r="M1708" s="57"/>
      <c r="N1708" s="57"/>
      <c r="O1708" s="57"/>
      <c r="P1708" s="57"/>
      <c r="Q1708" s="57"/>
    </row>
    <row r="1709">
      <c r="A1709" s="60" t="s">
        <v>38</v>
      </c>
      <c r="B1709" s="60"/>
      <c r="C1709" s="65">
        <v>90.0</v>
      </c>
      <c r="D1709" s="57">
        <f t="shared" ref="D1709:D1710" si="672">ROUNDDOWN(C1709*1.1,0)</f>
        <v>99</v>
      </c>
      <c r="E1709" s="57">
        <f t="shared" ref="E1709:E1710" si="673">ROUNDDOWN(C1709*1.21,0)</f>
        <v>108</v>
      </c>
      <c r="F1709" s="57">
        <f t="shared" ref="F1709:F1710" si="674">ROUNDDOWN(C1709*1.33,0)</f>
        <v>119</v>
      </c>
      <c r="G1709" s="57">
        <f t="shared" ref="G1709:G1710" si="675">ROUNDDOWN(C1709*1.46,0)</f>
        <v>131</v>
      </c>
      <c r="H1709" s="57">
        <f t="shared" ref="H1709:H1710" si="676">ROUNDDOWN(C1709*1.6,0)</f>
        <v>144</v>
      </c>
      <c r="I1709" s="57">
        <f t="shared" ref="I1709:I1710" si="677">ROUNDDOWN(C1709*1.76,0)</f>
        <v>158</v>
      </c>
      <c r="J1709" s="57">
        <f t="shared" ref="J1709:J1710" si="678">ROUNDDOWN(C1709*1.93,0)</f>
        <v>173</v>
      </c>
      <c r="K1709" s="63">
        <f t="shared" ref="K1709:K1710" si="679">ROUNDDOWN(C1709*2.12,0)</f>
        <v>190</v>
      </c>
      <c r="L1709" s="57">
        <f t="shared" ref="L1709:L1710" si="680">ROUNDDOWN(C1709*2.33,0)</f>
        <v>209</v>
      </c>
      <c r="M1709" s="57">
        <f t="shared" ref="M1709:M1710" si="681">ROUNDDOWN(C1709*2.56,0)</f>
        <v>230</v>
      </c>
      <c r="N1709" s="57">
        <f t="shared" ref="N1709:N1710" si="682">ROUNDDOWN(C1709*2.81,0)</f>
        <v>252</v>
      </c>
      <c r="O1709" s="57">
        <f t="shared" ref="O1709:O1710" si="683">ROUNDDOWN(C1709*3.09,0)</f>
        <v>278</v>
      </c>
      <c r="P1709" s="57">
        <f t="shared" ref="P1709:P1710" si="684">ROUNDDOWN(C1709*3.39,0)</f>
        <v>305</v>
      </c>
      <c r="Q1709" s="57"/>
    </row>
    <row r="1710">
      <c r="A1710" s="60" t="s">
        <v>24</v>
      </c>
      <c r="B1710" s="60"/>
      <c r="C1710" s="65">
        <v>39.0</v>
      </c>
      <c r="D1710" s="57">
        <f t="shared" si="672"/>
        <v>42</v>
      </c>
      <c r="E1710" s="57">
        <f t="shared" si="673"/>
        <v>47</v>
      </c>
      <c r="F1710" s="57">
        <f t="shared" si="674"/>
        <v>51</v>
      </c>
      <c r="G1710" s="57">
        <f t="shared" si="675"/>
        <v>56</v>
      </c>
      <c r="H1710" s="57">
        <f t="shared" si="676"/>
        <v>62</v>
      </c>
      <c r="I1710" s="57">
        <f t="shared" si="677"/>
        <v>68</v>
      </c>
      <c r="J1710" s="57">
        <f t="shared" si="678"/>
        <v>75</v>
      </c>
      <c r="K1710" s="63">
        <f t="shared" si="679"/>
        <v>82</v>
      </c>
      <c r="L1710" s="57">
        <f t="shared" si="680"/>
        <v>90</v>
      </c>
      <c r="M1710" s="57">
        <f t="shared" si="681"/>
        <v>99</v>
      </c>
      <c r="N1710" s="57">
        <f t="shared" si="682"/>
        <v>109</v>
      </c>
      <c r="O1710" s="57">
        <f t="shared" si="683"/>
        <v>120</v>
      </c>
      <c r="P1710" s="57">
        <f t="shared" si="684"/>
        <v>132</v>
      </c>
      <c r="Q1710" s="57"/>
    </row>
    <row r="1711">
      <c r="A1711" s="60" t="s">
        <v>428</v>
      </c>
      <c r="B1711" s="60" t="s">
        <v>429</v>
      </c>
      <c r="C1711" s="57"/>
      <c r="D1711" s="57"/>
      <c r="E1711" s="57"/>
      <c r="F1711" s="57"/>
      <c r="G1711" s="57"/>
      <c r="H1711" s="57"/>
      <c r="I1711" s="57"/>
      <c r="J1711" s="57"/>
      <c r="K1711" s="63"/>
      <c r="L1711" s="57"/>
      <c r="M1711" s="57"/>
      <c r="N1711" s="57"/>
      <c r="O1711" s="57"/>
      <c r="P1711" s="57"/>
      <c r="Q1711" s="57"/>
    </row>
    <row r="1712">
      <c r="A1712" s="60" t="s">
        <v>55</v>
      </c>
      <c r="B1712" s="60" t="s">
        <v>430</v>
      </c>
      <c r="C1712" s="57"/>
      <c r="D1712" s="57"/>
      <c r="E1712" s="57"/>
      <c r="F1712" s="57"/>
      <c r="G1712" s="57"/>
      <c r="H1712" s="57"/>
      <c r="I1712" s="57"/>
      <c r="J1712" s="57"/>
      <c r="K1712" s="63"/>
      <c r="L1712" s="57"/>
      <c r="M1712" s="57"/>
      <c r="N1712" s="57"/>
      <c r="O1712" s="57"/>
      <c r="P1712" s="57"/>
      <c r="Q1712" s="57"/>
    </row>
    <row r="1713">
      <c r="A1713" s="60" t="s">
        <v>51</v>
      </c>
      <c r="B1713" s="60" t="s">
        <v>482</v>
      </c>
      <c r="C1713" s="57"/>
      <c r="D1713" s="57"/>
      <c r="E1713" s="57"/>
      <c r="F1713" s="57"/>
      <c r="G1713" s="57"/>
      <c r="H1713" s="57"/>
      <c r="I1713" s="57"/>
      <c r="J1713" s="57"/>
      <c r="K1713" s="63"/>
      <c r="L1713" s="57"/>
      <c r="M1713" s="57"/>
      <c r="N1713" s="57"/>
      <c r="O1713" s="57"/>
      <c r="P1713" s="57"/>
      <c r="Q1713" s="57"/>
    </row>
    <row r="1714">
      <c r="A1714" s="60" t="s">
        <v>49</v>
      </c>
      <c r="B1714" s="60" t="s">
        <v>466</v>
      </c>
      <c r="C1714" s="57"/>
      <c r="D1714" s="57"/>
      <c r="E1714" s="57"/>
      <c r="F1714" s="57"/>
      <c r="G1714" s="57"/>
      <c r="H1714" s="57"/>
      <c r="I1714" s="57"/>
      <c r="J1714" s="57"/>
      <c r="K1714" s="63"/>
      <c r="L1714" s="57"/>
      <c r="M1714" s="57"/>
      <c r="N1714" s="57"/>
      <c r="O1714" s="57"/>
      <c r="P1714" s="57"/>
      <c r="Q1714" s="57"/>
    </row>
    <row r="1715">
      <c r="A1715" s="60" t="s">
        <v>432</v>
      </c>
      <c r="B1715" s="60" t="s">
        <v>450</v>
      </c>
      <c r="C1715" s="57"/>
      <c r="D1715" s="57"/>
      <c r="E1715" s="57"/>
      <c r="F1715" s="57"/>
      <c r="G1715" s="57"/>
      <c r="H1715" s="57"/>
      <c r="I1715" s="57"/>
      <c r="J1715" s="57"/>
      <c r="K1715" s="63"/>
      <c r="L1715" s="57"/>
      <c r="M1715" s="57"/>
      <c r="N1715" s="57"/>
      <c r="O1715" s="57"/>
      <c r="P1715" s="57"/>
      <c r="Q1715" s="57"/>
    </row>
    <row r="1716">
      <c r="A1716" s="60" t="s">
        <v>422</v>
      </c>
      <c r="B1716" s="60" t="s">
        <v>910</v>
      </c>
      <c r="C1716" s="57"/>
      <c r="D1716" s="57"/>
      <c r="E1716" s="57"/>
      <c r="F1716" s="57"/>
      <c r="G1716" s="57"/>
      <c r="H1716" s="57"/>
      <c r="I1716" s="57"/>
      <c r="J1716" s="57"/>
      <c r="K1716" s="63"/>
      <c r="L1716" s="57"/>
      <c r="M1716" s="57"/>
      <c r="N1716" s="57"/>
      <c r="O1716" s="57"/>
      <c r="P1716" s="57"/>
      <c r="Q1716" s="57"/>
    </row>
    <row r="1717">
      <c r="A1717" s="60" t="s">
        <v>435</v>
      </c>
      <c r="B1717" s="60" t="s">
        <v>436</v>
      </c>
      <c r="C1717" s="57"/>
      <c r="D1717" s="57"/>
      <c r="E1717" s="57"/>
      <c r="F1717" s="57"/>
      <c r="G1717" s="57"/>
      <c r="H1717" s="57"/>
      <c r="I1717" s="57"/>
      <c r="J1717" s="57"/>
      <c r="K1717" s="63"/>
      <c r="L1717" s="57"/>
      <c r="M1717" s="57"/>
      <c r="N1717" s="57"/>
      <c r="O1717" s="57"/>
      <c r="P1717" s="57"/>
      <c r="Q1717" s="57"/>
    </row>
    <row r="1718">
      <c r="A1718" s="60" t="s">
        <v>426</v>
      </c>
      <c r="B1718" s="60" t="s">
        <v>697</v>
      </c>
      <c r="C1718" s="57"/>
      <c r="D1718" s="57"/>
      <c r="E1718" s="57"/>
      <c r="F1718" s="57"/>
      <c r="G1718" s="57"/>
      <c r="H1718" s="57"/>
      <c r="I1718" s="57"/>
      <c r="J1718" s="57"/>
      <c r="K1718" s="63"/>
      <c r="L1718" s="57"/>
      <c r="M1718" s="57"/>
      <c r="N1718" s="57"/>
      <c r="O1718" s="57"/>
      <c r="P1718" s="57"/>
      <c r="Q1718" s="57"/>
    </row>
    <row r="1719">
      <c r="A1719" s="60" t="s">
        <v>63</v>
      </c>
      <c r="B1719" s="60" t="s">
        <v>433</v>
      </c>
      <c r="C1719" s="57"/>
      <c r="D1719" s="57"/>
      <c r="E1719" s="57"/>
      <c r="F1719" s="57"/>
      <c r="G1719" s="57"/>
      <c r="H1719" s="57"/>
      <c r="I1719" s="57"/>
      <c r="J1719" s="57"/>
      <c r="K1719" s="63"/>
      <c r="L1719" s="57"/>
      <c r="M1719" s="57"/>
      <c r="N1719" s="57"/>
      <c r="O1719" s="57"/>
      <c r="P1719" s="57"/>
      <c r="Q1719" s="57"/>
    </row>
    <row r="1720">
      <c r="A1720" s="60" t="s">
        <v>597</v>
      </c>
      <c r="B1720" s="82">
        <v>-1.0</v>
      </c>
      <c r="C1720" s="57"/>
      <c r="D1720" s="57"/>
      <c r="E1720" s="57"/>
      <c r="F1720" s="57"/>
      <c r="G1720" s="57"/>
      <c r="H1720" s="57"/>
      <c r="I1720" s="57"/>
      <c r="J1720" s="57"/>
      <c r="K1720" s="63"/>
      <c r="L1720" s="57"/>
      <c r="M1720" s="57"/>
      <c r="N1720" s="57"/>
      <c r="O1720" s="57"/>
      <c r="P1720" s="57"/>
      <c r="Q1720" s="57"/>
    </row>
    <row r="1721">
      <c r="A1721" s="60" t="s">
        <v>911</v>
      </c>
      <c r="B1721" s="60" t="s">
        <v>424</v>
      </c>
      <c r="C1721" s="57"/>
      <c r="D1721" s="57"/>
      <c r="E1721" s="57"/>
      <c r="F1721" s="57"/>
      <c r="G1721" s="57"/>
      <c r="H1721" s="57"/>
      <c r="I1721" s="57"/>
      <c r="J1721" s="57"/>
      <c r="K1721" s="63"/>
      <c r="L1721" s="57"/>
      <c r="M1721" s="57"/>
      <c r="N1721" s="57"/>
      <c r="O1721" s="57"/>
      <c r="P1721" s="57"/>
      <c r="Q1721" s="57"/>
    </row>
    <row r="1722">
      <c r="A1722" s="60" t="s">
        <v>912</v>
      </c>
      <c r="B1722" s="60">
        <v>9.0</v>
      </c>
      <c r="C1722" s="57"/>
      <c r="D1722" s="57"/>
      <c r="E1722" s="57"/>
      <c r="F1722" s="57"/>
      <c r="G1722" s="57"/>
      <c r="H1722" s="57"/>
      <c r="I1722" s="57"/>
      <c r="J1722" s="57"/>
      <c r="K1722" s="63"/>
      <c r="L1722" s="57"/>
      <c r="M1722" s="57"/>
      <c r="N1722" s="57"/>
      <c r="O1722" s="57"/>
      <c r="P1722" s="57"/>
      <c r="Q1722" s="57"/>
    </row>
    <row r="1723">
      <c r="A1723" s="60" t="s">
        <v>53</v>
      </c>
      <c r="B1723" s="60" t="s">
        <v>462</v>
      </c>
      <c r="C1723" s="57"/>
      <c r="D1723" s="57"/>
      <c r="E1723" s="57"/>
      <c r="F1723" s="57"/>
      <c r="G1723" s="57"/>
      <c r="H1723" s="57"/>
      <c r="I1723" s="57"/>
      <c r="J1723" s="57"/>
      <c r="K1723" s="63"/>
      <c r="L1723" s="57"/>
      <c r="M1723" s="57"/>
      <c r="N1723" s="57"/>
      <c r="O1723" s="57"/>
      <c r="P1723" s="57"/>
      <c r="Q1723" s="57"/>
    </row>
    <row r="1724">
      <c r="A1724" s="60" t="s">
        <v>50</v>
      </c>
      <c r="B1724" s="60" t="s">
        <v>425</v>
      </c>
      <c r="C1724" s="57"/>
      <c r="D1724" s="57"/>
      <c r="E1724" s="57"/>
      <c r="F1724" s="57"/>
      <c r="G1724" s="57"/>
      <c r="H1724" s="57"/>
      <c r="I1724" s="57"/>
      <c r="J1724" s="57"/>
      <c r="K1724" s="63"/>
      <c r="L1724" s="57"/>
      <c r="M1724" s="57"/>
      <c r="N1724" s="57"/>
      <c r="O1724" s="57"/>
      <c r="P1724" s="57"/>
      <c r="Q1724" s="57"/>
    </row>
    <row r="1725">
      <c r="A1725" s="60" t="s">
        <v>438</v>
      </c>
      <c r="B1725" s="60" t="s">
        <v>436</v>
      </c>
      <c r="C1725" s="57"/>
      <c r="D1725" s="57"/>
      <c r="E1725" s="57"/>
      <c r="F1725" s="57"/>
      <c r="G1725" s="57"/>
      <c r="H1725" s="57"/>
      <c r="I1725" s="57"/>
      <c r="J1725" s="57"/>
      <c r="K1725" s="63"/>
      <c r="L1725" s="57"/>
      <c r="M1725" s="57"/>
      <c r="N1725" s="57"/>
      <c r="O1725" s="57"/>
      <c r="P1725" s="57"/>
      <c r="Q1725" s="57"/>
    </row>
    <row r="1726">
      <c r="A1726" s="60" t="s">
        <v>439</v>
      </c>
      <c r="B1726" s="60" t="s">
        <v>487</v>
      </c>
      <c r="C1726" s="57"/>
      <c r="D1726" s="57"/>
      <c r="E1726" s="57"/>
      <c r="F1726" s="57"/>
      <c r="G1726" s="57"/>
      <c r="H1726" s="57"/>
      <c r="I1726" s="57"/>
      <c r="J1726" s="57"/>
      <c r="K1726" s="63"/>
      <c r="L1726" s="57"/>
      <c r="M1726" s="57"/>
      <c r="N1726" s="57"/>
      <c r="O1726" s="57"/>
      <c r="P1726" s="57"/>
      <c r="Q1726" s="57"/>
    </row>
    <row r="1727">
      <c r="A1727" s="60" t="s">
        <v>441</v>
      </c>
      <c r="B1727" s="60">
        <v>1.0</v>
      </c>
      <c r="C1727" s="57"/>
      <c r="D1727" s="57"/>
      <c r="E1727" s="57"/>
      <c r="F1727" s="57"/>
      <c r="G1727" s="57"/>
      <c r="H1727" s="57"/>
      <c r="I1727" s="57"/>
      <c r="J1727" s="57"/>
      <c r="K1727" s="63"/>
      <c r="L1727" s="57"/>
      <c r="M1727" s="57"/>
      <c r="N1727" s="57"/>
      <c r="O1727" s="57"/>
      <c r="P1727" s="57"/>
      <c r="Q1727" s="57"/>
    </row>
    <row r="1728">
      <c r="A1728" s="60" t="s">
        <v>467</v>
      </c>
      <c r="B1728" s="60" t="s">
        <v>494</v>
      </c>
      <c r="C1728" s="57"/>
      <c r="D1728" s="57"/>
      <c r="E1728" s="57"/>
      <c r="F1728" s="57"/>
      <c r="G1728" s="57"/>
      <c r="H1728" s="57"/>
      <c r="I1728" s="57"/>
      <c r="J1728" s="57"/>
      <c r="K1728" s="63"/>
      <c r="L1728" s="57"/>
      <c r="M1728" s="57"/>
      <c r="N1728" s="57"/>
      <c r="O1728" s="57"/>
      <c r="P1728" s="57"/>
      <c r="Q1728" s="57"/>
    </row>
    <row r="1729">
      <c r="A1729" s="60" t="s">
        <v>488</v>
      </c>
      <c r="B1729" s="60" t="s">
        <v>436</v>
      </c>
      <c r="C1729" s="57"/>
      <c r="D1729" s="57"/>
      <c r="E1729" s="57"/>
      <c r="F1729" s="57"/>
      <c r="G1729" s="57"/>
      <c r="H1729" s="57"/>
      <c r="I1729" s="57"/>
      <c r="J1729" s="57"/>
      <c r="K1729" s="63"/>
      <c r="L1729" s="57"/>
      <c r="M1729" s="57"/>
      <c r="N1729" s="57"/>
      <c r="O1729" s="57"/>
      <c r="P1729" s="57"/>
      <c r="Q1729" s="57"/>
    </row>
    <row r="1730">
      <c r="A1730" s="60" t="s">
        <v>447</v>
      </c>
      <c r="B1730" s="60" t="s">
        <v>448</v>
      </c>
      <c r="C1730" s="57"/>
      <c r="D1730" s="57"/>
      <c r="E1730" s="57"/>
      <c r="F1730" s="57"/>
      <c r="G1730" s="57"/>
      <c r="H1730" s="57"/>
      <c r="I1730" s="57"/>
      <c r="J1730" s="57"/>
      <c r="K1730" s="63"/>
      <c r="L1730" s="57"/>
      <c r="M1730" s="57"/>
      <c r="N1730" s="57"/>
      <c r="O1730" s="57"/>
      <c r="P1730" s="57"/>
      <c r="Q1730" s="57"/>
    </row>
    <row r="1731">
      <c r="A1731" s="68" t="s">
        <v>361</v>
      </c>
      <c r="B1731" s="60" t="s">
        <v>416</v>
      </c>
      <c r="C1731" s="57"/>
      <c r="D1731" s="57"/>
      <c r="E1731" s="57"/>
      <c r="F1731" s="57"/>
      <c r="G1731" s="57"/>
      <c r="H1731" s="57"/>
      <c r="I1731" s="57"/>
      <c r="J1731" s="57"/>
      <c r="K1731" s="63"/>
      <c r="L1731" s="57"/>
      <c r="M1731" s="57"/>
      <c r="N1731" s="57"/>
      <c r="O1731" s="57"/>
      <c r="P1731" s="57"/>
      <c r="Q1731" s="57"/>
    </row>
    <row r="1732">
      <c r="A1732" s="60" t="s">
        <v>38</v>
      </c>
      <c r="B1732" s="60"/>
      <c r="C1732" s="57"/>
      <c r="D1732" s="57"/>
      <c r="E1732" s="65">
        <v>680.0</v>
      </c>
      <c r="F1732" s="57">
        <f t="shared" ref="F1732:F1737" si="685">ROUNDDOWN(E1732*1.1,0)</f>
        <v>748</v>
      </c>
      <c r="G1732" s="57">
        <f t="shared" ref="G1732:G1737" si="686">ROUNDDOWN(E1732*1.21,0)</f>
        <v>822</v>
      </c>
      <c r="H1732" s="57">
        <f t="shared" ref="H1732:H1737" si="687">ROUNDDOWN(E1732*1.33,0)</f>
        <v>904</v>
      </c>
      <c r="I1732" s="57">
        <f t="shared" ref="I1732:I1737" si="688">ROUNDDOWN(E1732*1.46,0)</f>
        <v>992</v>
      </c>
      <c r="J1732" s="57">
        <f t="shared" ref="J1732:J1737" si="689">ROUNDDOWN(E1732*1.6,0)</f>
        <v>1088</v>
      </c>
      <c r="K1732" s="63">
        <f t="shared" ref="K1732:K1737" si="690">ROUNDDOWN(E1732*1.76,0)</f>
        <v>1196</v>
      </c>
      <c r="L1732" s="57">
        <f t="shared" ref="L1732:L1737" si="691">ROUNDDOWN(E1732*1.93,0)</f>
        <v>1312</v>
      </c>
      <c r="M1732" s="57">
        <f t="shared" ref="M1732:M1737" si="692">ROUNDDOWN(E1732*2.12,0)</f>
        <v>1441</v>
      </c>
      <c r="N1732" s="57">
        <f t="shared" ref="N1732:N1737" si="693">ROUNDDOWN(E1732*2.33,0)</f>
        <v>1584</v>
      </c>
      <c r="O1732" s="57">
        <f t="shared" ref="O1732:O1737" si="694">ROUNDDOWN(E1732*2.56,0)</f>
        <v>1740</v>
      </c>
      <c r="P1732" s="57">
        <f t="shared" ref="P1732:P1737" si="695">ROUNDDOWN(E1732*2.81,0)</f>
        <v>1910</v>
      </c>
      <c r="Q1732" s="57"/>
    </row>
    <row r="1733">
      <c r="A1733" s="60" t="s">
        <v>24</v>
      </c>
      <c r="B1733" s="60"/>
      <c r="C1733" s="57"/>
      <c r="D1733" s="57"/>
      <c r="E1733" s="65">
        <v>120.0</v>
      </c>
      <c r="F1733" s="57">
        <f t="shared" si="685"/>
        <v>132</v>
      </c>
      <c r="G1733" s="57">
        <f t="shared" si="686"/>
        <v>145</v>
      </c>
      <c r="H1733" s="57">
        <f t="shared" si="687"/>
        <v>159</v>
      </c>
      <c r="I1733" s="57">
        <f t="shared" si="688"/>
        <v>175</v>
      </c>
      <c r="J1733" s="57">
        <f t="shared" si="689"/>
        <v>192</v>
      </c>
      <c r="K1733" s="63">
        <f t="shared" si="690"/>
        <v>211</v>
      </c>
      <c r="L1733" s="57">
        <f t="shared" si="691"/>
        <v>231</v>
      </c>
      <c r="M1733" s="57">
        <f t="shared" si="692"/>
        <v>254</v>
      </c>
      <c r="N1733" s="57">
        <f t="shared" si="693"/>
        <v>279</v>
      </c>
      <c r="O1733" s="57">
        <f t="shared" si="694"/>
        <v>307</v>
      </c>
      <c r="P1733" s="57">
        <f t="shared" si="695"/>
        <v>337</v>
      </c>
      <c r="Q1733" s="57"/>
    </row>
    <row r="1734">
      <c r="A1734" s="60" t="s">
        <v>913</v>
      </c>
      <c r="B1734" s="60"/>
      <c r="C1734" s="57"/>
      <c r="D1734" s="57"/>
      <c r="E1734" s="65">
        <v>340.0</v>
      </c>
      <c r="F1734" s="57">
        <f t="shared" si="685"/>
        <v>374</v>
      </c>
      <c r="G1734" s="57">
        <f t="shared" si="686"/>
        <v>411</v>
      </c>
      <c r="H1734" s="57">
        <f t="shared" si="687"/>
        <v>452</v>
      </c>
      <c r="I1734" s="57">
        <f t="shared" si="688"/>
        <v>496</v>
      </c>
      <c r="J1734" s="57">
        <f t="shared" si="689"/>
        <v>544</v>
      </c>
      <c r="K1734" s="63">
        <f t="shared" si="690"/>
        <v>598</v>
      </c>
      <c r="L1734" s="57">
        <f t="shared" si="691"/>
        <v>656</v>
      </c>
      <c r="M1734" s="57">
        <f t="shared" si="692"/>
        <v>720</v>
      </c>
      <c r="N1734" s="57">
        <f t="shared" si="693"/>
        <v>792</v>
      </c>
      <c r="O1734" s="57">
        <f t="shared" si="694"/>
        <v>870</v>
      </c>
      <c r="P1734" s="57">
        <f t="shared" si="695"/>
        <v>955</v>
      </c>
      <c r="Q1734" s="57"/>
    </row>
    <row r="1735">
      <c r="A1735" s="60" t="s">
        <v>914</v>
      </c>
      <c r="B1735" s="60"/>
      <c r="C1735" s="57"/>
      <c r="D1735" s="57"/>
      <c r="E1735" s="65">
        <v>60.0</v>
      </c>
      <c r="F1735" s="57">
        <f t="shared" si="685"/>
        <v>66</v>
      </c>
      <c r="G1735" s="57">
        <f t="shared" si="686"/>
        <v>72</v>
      </c>
      <c r="H1735" s="57">
        <f t="shared" si="687"/>
        <v>79</v>
      </c>
      <c r="I1735" s="57">
        <f t="shared" si="688"/>
        <v>87</v>
      </c>
      <c r="J1735" s="57">
        <f t="shared" si="689"/>
        <v>96</v>
      </c>
      <c r="K1735" s="63">
        <f t="shared" si="690"/>
        <v>105</v>
      </c>
      <c r="L1735" s="57">
        <f t="shared" si="691"/>
        <v>115</v>
      </c>
      <c r="M1735" s="57">
        <f t="shared" si="692"/>
        <v>127</v>
      </c>
      <c r="N1735" s="57">
        <f t="shared" si="693"/>
        <v>139</v>
      </c>
      <c r="O1735" s="57">
        <f t="shared" si="694"/>
        <v>153</v>
      </c>
      <c r="P1735" s="57">
        <f t="shared" si="695"/>
        <v>168</v>
      </c>
      <c r="Q1735" s="57"/>
    </row>
    <row r="1736">
      <c r="A1736" s="60" t="s">
        <v>915</v>
      </c>
      <c r="B1736" s="60"/>
      <c r="C1736" s="57"/>
      <c r="D1736" s="57"/>
      <c r="E1736" s="65">
        <v>170.0</v>
      </c>
      <c r="F1736" s="57">
        <f t="shared" si="685"/>
        <v>187</v>
      </c>
      <c r="G1736" s="57">
        <f t="shared" si="686"/>
        <v>205</v>
      </c>
      <c r="H1736" s="57">
        <f t="shared" si="687"/>
        <v>226</v>
      </c>
      <c r="I1736" s="57">
        <f t="shared" si="688"/>
        <v>248</v>
      </c>
      <c r="J1736" s="57">
        <f t="shared" si="689"/>
        <v>272</v>
      </c>
      <c r="K1736" s="63">
        <f t="shared" si="690"/>
        <v>299</v>
      </c>
      <c r="L1736" s="57">
        <f t="shared" si="691"/>
        <v>328</v>
      </c>
      <c r="M1736" s="57">
        <f t="shared" si="692"/>
        <v>360</v>
      </c>
      <c r="N1736" s="57">
        <f t="shared" si="693"/>
        <v>396</v>
      </c>
      <c r="O1736" s="57">
        <f t="shared" si="694"/>
        <v>435</v>
      </c>
      <c r="P1736" s="57">
        <f t="shared" si="695"/>
        <v>477</v>
      </c>
      <c r="Q1736" s="57"/>
    </row>
    <row r="1737">
      <c r="A1737" s="60" t="s">
        <v>916</v>
      </c>
      <c r="B1737" s="60"/>
      <c r="C1737" s="57"/>
      <c r="D1737" s="57"/>
      <c r="E1737" s="65">
        <v>30.0</v>
      </c>
      <c r="F1737" s="57">
        <f t="shared" si="685"/>
        <v>33</v>
      </c>
      <c r="G1737" s="57">
        <f t="shared" si="686"/>
        <v>36</v>
      </c>
      <c r="H1737" s="57">
        <f t="shared" si="687"/>
        <v>39</v>
      </c>
      <c r="I1737" s="57">
        <f t="shared" si="688"/>
        <v>43</v>
      </c>
      <c r="J1737" s="57">
        <f t="shared" si="689"/>
        <v>48</v>
      </c>
      <c r="K1737" s="63">
        <f t="shared" si="690"/>
        <v>52</v>
      </c>
      <c r="L1737" s="57">
        <f t="shared" si="691"/>
        <v>57</v>
      </c>
      <c r="M1737" s="57">
        <f t="shared" si="692"/>
        <v>63</v>
      </c>
      <c r="N1737" s="57">
        <f t="shared" si="693"/>
        <v>69</v>
      </c>
      <c r="O1737" s="57">
        <f t="shared" si="694"/>
        <v>76</v>
      </c>
      <c r="P1737" s="57">
        <f t="shared" si="695"/>
        <v>84</v>
      </c>
      <c r="Q1737" s="57"/>
    </row>
    <row r="1738">
      <c r="A1738" s="60" t="s">
        <v>428</v>
      </c>
      <c r="B1738" s="60" t="s">
        <v>469</v>
      </c>
      <c r="C1738" s="57"/>
      <c r="D1738" s="57"/>
      <c r="E1738" s="57"/>
      <c r="F1738" s="57"/>
      <c r="G1738" s="57"/>
      <c r="H1738" s="57"/>
      <c r="I1738" s="57"/>
      <c r="J1738" s="57"/>
      <c r="K1738" s="63"/>
      <c r="L1738" s="57"/>
      <c r="M1738" s="57"/>
      <c r="N1738" s="57"/>
      <c r="O1738" s="57"/>
      <c r="P1738" s="57"/>
      <c r="Q1738" s="57"/>
    </row>
    <row r="1739">
      <c r="A1739" s="60" t="s">
        <v>55</v>
      </c>
      <c r="B1739" s="60" t="s">
        <v>430</v>
      </c>
      <c r="C1739" s="57"/>
      <c r="D1739" s="57"/>
      <c r="E1739" s="57"/>
      <c r="F1739" s="57"/>
      <c r="G1739" s="57"/>
      <c r="H1739" s="57"/>
      <c r="I1739" s="57"/>
      <c r="J1739" s="57"/>
      <c r="K1739" s="63"/>
      <c r="L1739" s="57"/>
      <c r="M1739" s="57"/>
      <c r="N1739" s="57"/>
      <c r="O1739" s="57"/>
      <c r="P1739" s="57"/>
      <c r="Q1739" s="57"/>
    </row>
    <row r="1740">
      <c r="A1740" s="60" t="s">
        <v>51</v>
      </c>
      <c r="B1740" s="60" t="s">
        <v>470</v>
      </c>
      <c r="C1740" s="57"/>
      <c r="D1740" s="57"/>
      <c r="E1740" s="57"/>
      <c r="F1740" s="57"/>
      <c r="G1740" s="57"/>
      <c r="H1740" s="57"/>
      <c r="I1740" s="57"/>
      <c r="J1740" s="57"/>
      <c r="K1740" s="63"/>
      <c r="L1740" s="57"/>
      <c r="M1740" s="57"/>
      <c r="N1740" s="57"/>
      <c r="O1740" s="57"/>
      <c r="P1740" s="57"/>
      <c r="Q1740" s="57"/>
    </row>
    <row r="1741">
      <c r="A1741" s="60" t="s">
        <v>49</v>
      </c>
      <c r="B1741" s="60" t="s">
        <v>609</v>
      </c>
      <c r="C1741" s="57"/>
      <c r="D1741" s="57"/>
      <c r="E1741" s="57"/>
      <c r="F1741" s="57"/>
      <c r="G1741" s="57"/>
      <c r="H1741" s="57"/>
      <c r="I1741" s="57"/>
      <c r="J1741" s="57"/>
      <c r="K1741" s="63"/>
      <c r="L1741" s="57"/>
      <c r="M1741" s="57"/>
      <c r="N1741" s="57"/>
      <c r="O1741" s="57"/>
      <c r="P1741" s="57"/>
      <c r="Q1741" s="57"/>
    </row>
    <row r="1742">
      <c r="A1742" s="60" t="s">
        <v>432</v>
      </c>
      <c r="B1742" s="60" t="s">
        <v>466</v>
      </c>
      <c r="C1742" s="57"/>
      <c r="D1742" s="57"/>
      <c r="E1742" s="57"/>
      <c r="F1742" s="57"/>
      <c r="G1742" s="57"/>
      <c r="H1742" s="57"/>
      <c r="I1742" s="57"/>
      <c r="J1742" s="57"/>
      <c r="K1742" s="63"/>
      <c r="L1742" s="57"/>
      <c r="M1742" s="57"/>
      <c r="N1742" s="57"/>
      <c r="O1742" s="57"/>
      <c r="P1742" s="57"/>
      <c r="Q1742" s="57"/>
    </row>
    <row r="1743">
      <c r="A1743" s="60" t="s">
        <v>53</v>
      </c>
      <c r="B1743" s="60" t="s">
        <v>464</v>
      </c>
      <c r="C1743" s="57"/>
      <c r="D1743" s="57"/>
      <c r="E1743" s="57"/>
      <c r="F1743" s="57"/>
      <c r="G1743" s="57"/>
      <c r="H1743" s="57"/>
      <c r="I1743" s="57"/>
      <c r="J1743" s="57"/>
      <c r="K1743" s="63"/>
      <c r="L1743" s="57"/>
      <c r="M1743" s="57"/>
      <c r="N1743" s="57"/>
      <c r="O1743" s="57"/>
      <c r="P1743" s="57"/>
      <c r="Q1743" s="57"/>
    </row>
    <row r="1744">
      <c r="A1744" s="60" t="s">
        <v>50</v>
      </c>
      <c r="B1744" s="60" t="s">
        <v>109</v>
      </c>
      <c r="C1744" s="57"/>
      <c r="D1744" s="57"/>
      <c r="E1744" s="57"/>
      <c r="F1744" s="57"/>
      <c r="G1744" s="57"/>
      <c r="H1744" s="57"/>
      <c r="I1744" s="57"/>
      <c r="J1744" s="57"/>
      <c r="K1744" s="63"/>
      <c r="L1744" s="57"/>
      <c r="M1744" s="57"/>
      <c r="N1744" s="57"/>
      <c r="O1744" s="57"/>
      <c r="P1744" s="57"/>
      <c r="Q1744" s="57"/>
    </row>
    <row r="1745">
      <c r="A1745" s="60" t="s">
        <v>438</v>
      </c>
      <c r="B1745" s="60" t="s">
        <v>472</v>
      </c>
      <c r="C1745" s="57"/>
      <c r="D1745" s="57"/>
      <c r="E1745" s="57"/>
      <c r="F1745" s="57"/>
      <c r="G1745" s="57"/>
      <c r="H1745" s="57"/>
      <c r="I1745" s="57"/>
      <c r="J1745" s="57"/>
      <c r="K1745" s="63"/>
      <c r="L1745" s="57"/>
      <c r="M1745" s="57"/>
      <c r="N1745" s="57"/>
      <c r="O1745" s="57"/>
      <c r="P1745" s="57"/>
      <c r="Q1745" s="57"/>
    </row>
    <row r="1746">
      <c r="A1746" s="60" t="s">
        <v>439</v>
      </c>
      <c r="B1746" s="60" t="s">
        <v>502</v>
      </c>
      <c r="C1746" s="57"/>
      <c r="D1746" s="57"/>
      <c r="E1746" s="57"/>
      <c r="F1746" s="57"/>
      <c r="G1746" s="57"/>
      <c r="H1746" s="57"/>
      <c r="I1746" s="57"/>
      <c r="J1746" s="57"/>
      <c r="K1746" s="63"/>
      <c r="L1746" s="57"/>
      <c r="M1746" s="57"/>
      <c r="N1746" s="57"/>
      <c r="O1746" s="57"/>
      <c r="P1746" s="57"/>
      <c r="Q1746" s="57"/>
    </row>
    <row r="1747">
      <c r="A1747" s="60" t="s">
        <v>441</v>
      </c>
      <c r="B1747" s="60">
        <v>15.0</v>
      </c>
      <c r="C1747" s="57"/>
      <c r="D1747" s="57"/>
      <c r="E1747" s="57"/>
      <c r="F1747" s="57"/>
      <c r="G1747" s="57"/>
      <c r="H1747" s="57"/>
      <c r="I1747" s="57"/>
      <c r="J1747" s="57"/>
      <c r="K1747" s="63"/>
      <c r="L1747" s="57"/>
      <c r="M1747" s="57"/>
      <c r="N1747" s="57"/>
      <c r="O1747" s="57"/>
      <c r="P1747" s="57"/>
      <c r="Q1747" s="57"/>
    </row>
    <row r="1748">
      <c r="A1748" s="60" t="s">
        <v>510</v>
      </c>
      <c r="B1748" s="60">
        <v>2.0</v>
      </c>
      <c r="C1748" s="57"/>
      <c r="D1748" s="57"/>
      <c r="E1748" s="57"/>
      <c r="F1748" s="57"/>
      <c r="G1748" s="57"/>
      <c r="H1748" s="57"/>
      <c r="I1748" s="57"/>
      <c r="J1748" s="57"/>
      <c r="K1748" s="63"/>
      <c r="L1748" s="57"/>
      <c r="M1748" s="57"/>
      <c r="N1748" s="57"/>
      <c r="O1748" s="57"/>
      <c r="P1748" s="57"/>
      <c r="Q1748" s="57"/>
    </row>
    <row r="1749">
      <c r="A1749" s="60" t="s">
        <v>511</v>
      </c>
      <c r="B1749" s="60" t="s">
        <v>410</v>
      </c>
      <c r="C1749" s="57"/>
      <c r="D1749" s="57"/>
      <c r="E1749" s="57"/>
      <c r="F1749" s="57"/>
      <c r="G1749" s="57"/>
      <c r="H1749" s="57"/>
      <c r="I1749" s="57"/>
      <c r="J1749" s="57"/>
      <c r="K1749" s="63"/>
      <c r="L1749" s="57"/>
      <c r="M1749" s="57"/>
      <c r="N1749" s="57"/>
      <c r="O1749" s="57"/>
      <c r="P1749" s="57"/>
      <c r="Q1749" s="57"/>
    </row>
    <row r="1750">
      <c r="A1750" s="60" t="s">
        <v>555</v>
      </c>
      <c r="B1750" s="60" t="s">
        <v>473</v>
      </c>
      <c r="C1750" s="57"/>
      <c r="D1750" s="57"/>
      <c r="E1750" s="57"/>
      <c r="F1750" s="57"/>
      <c r="G1750" s="57"/>
      <c r="H1750" s="57"/>
      <c r="I1750" s="57"/>
      <c r="J1750" s="57"/>
      <c r="K1750" s="63"/>
      <c r="L1750" s="57"/>
      <c r="M1750" s="57"/>
      <c r="N1750" s="57"/>
      <c r="O1750" s="57"/>
      <c r="P1750" s="57"/>
      <c r="Q1750" s="57"/>
    </row>
    <row r="1751">
      <c r="A1751" s="60" t="s">
        <v>444</v>
      </c>
      <c r="B1751" s="60" t="s">
        <v>445</v>
      </c>
      <c r="C1751" s="57"/>
      <c r="D1751" s="57"/>
      <c r="E1751" s="57"/>
      <c r="F1751" s="57"/>
      <c r="G1751" s="57"/>
      <c r="H1751" s="57"/>
      <c r="I1751" s="57"/>
      <c r="J1751" s="57"/>
      <c r="K1751" s="63"/>
      <c r="L1751" s="57"/>
      <c r="M1751" s="57"/>
      <c r="N1751" s="57"/>
      <c r="O1751" s="57"/>
      <c r="P1751" s="57"/>
      <c r="Q1751" s="57"/>
    </row>
    <row r="1752">
      <c r="A1752" s="60" t="s">
        <v>446</v>
      </c>
      <c r="B1752" s="60" t="s">
        <v>445</v>
      </c>
      <c r="C1752" s="57"/>
      <c r="D1752" s="57"/>
      <c r="E1752" s="57"/>
      <c r="F1752" s="57"/>
      <c r="G1752" s="57"/>
      <c r="H1752" s="57"/>
      <c r="I1752" s="57"/>
      <c r="J1752" s="57"/>
      <c r="K1752" s="63"/>
      <c r="L1752" s="57"/>
      <c r="M1752" s="57"/>
      <c r="N1752" s="57"/>
      <c r="O1752" s="57"/>
      <c r="P1752" s="57"/>
      <c r="Q1752" s="57"/>
    </row>
    <row r="1753">
      <c r="A1753" s="60" t="s">
        <v>917</v>
      </c>
      <c r="B1753" s="60" t="s">
        <v>469</v>
      </c>
      <c r="C1753" s="57"/>
      <c r="D1753" s="57"/>
      <c r="E1753" s="57"/>
      <c r="F1753" s="57"/>
      <c r="G1753" s="57"/>
      <c r="H1753" s="57"/>
      <c r="I1753" s="57"/>
      <c r="J1753" s="57"/>
      <c r="K1753" s="63"/>
      <c r="L1753" s="57"/>
      <c r="M1753" s="57"/>
      <c r="N1753" s="57"/>
      <c r="O1753" s="57"/>
      <c r="P1753" s="57"/>
      <c r="Q1753" s="57"/>
    </row>
    <row r="1754">
      <c r="A1754" s="60" t="s">
        <v>918</v>
      </c>
      <c r="B1754" s="60" t="s">
        <v>430</v>
      </c>
      <c r="C1754" s="57"/>
      <c r="D1754" s="57"/>
      <c r="E1754" s="57"/>
      <c r="F1754" s="57"/>
      <c r="G1754" s="57"/>
      <c r="H1754" s="57"/>
      <c r="I1754" s="57"/>
      <c r="J1754" s="57"/>
      <c r="K1754" s="63"/>
      <c r="L1754" s="57"/>
      <c r="M1754" s="57"/>
      <c r="N1754" s="57"/>
      <c r="O1754" s="57"/>
      <c r="P1754" s="57"/>
      <c r="Q1754" s="57"/>
    </row>
    <row r="1755">
      <c r="A1755" s="60" t="s">
        <v>919</v>
      </c>
      <c r="B1755" s="60" t="s">
        <v>451</v>
      </c>
      <c r="C1755" s="57"/>
      <c r="D1755" s="57"/>
      <c r="E1755" s="57"/>
      <c r="F1755" s="57"/>
      <c r="G1755" s="57"/>
      <c r="H1755" s="57"/>
      <c r="I1755" s="57"/>
      <c r="J1755" s="57"/>
      <c r="K1755" s="63"/>
      <c r="L1755" s="57"/>
      <c r="M1755" s="57"/>
      <c r="N1755" s="57"/>
      <c r="O1755" s="57"/>
      <c r="P1755" s="57"/>
      <c r="Q1755" s="57"/>
    </row>
    <row r="1756">
      <c r="A1756" s="60" t="s">
        <v>920</v>
      </c>
      <c r="B1756" s="60" t="s">
        <v>609</v>
      </c>
      <c r="C1756" s="57"/>
      <c r="D1756" s="57"/>
      <c r="E1756" s="57"/>
      <c r="F1756" s="57"/>
      <c r="G1756" s="57"/>
      <c r="H1756" s="57"/>
      <c r="I1756" s="57"/>
      <c r="J1756" s="57"/>
      <c r="K1756" s="63"/>
      <c r="L1756" s="57"/>
      <c r="M1756" s="57"/>
      <c r="N1756" s="57"/>
      <c r="O1756" s="57"/>
      <c r="P1756" s="57"/>
      <c r="Q1756" s="57"/>
    </row>
    <row r="1757">
      <c r="A1757" s="60" t="s">
        <v>921</v>
      </c>
      <c r="B1757" s="60" t="s">
        <v>466</v>
      </c>
      <c r="C1757" s="57"/>
      <c r="D1757" s="57"/>
      <c r="E1757" s="57"/>
      <c r="F1757" s="57"/>
      <c r="G1757" s="57"/>
      <c r="H1757" s="57"/>
      <c r="I1757" s="57"/>
      <c r="J1757" s="57"/>
      <c r="K1757" s="63"/>
      <c r="L1757" s="57"/>
      <c r="M1757" s="57"/>
      <c r="N1757" s="57"/>
      <c r="O1757" s="57"/>
      <c r="P1757" s="57"/>
      <c r="Q1757" s="57"/>
    </row>
    <row r="1758">
      <c r="A1758" s="60" t="s">
        <v>922</v>
      </c>
      <c r="B1758" s="60" t="s">
        <v>464</v>
      </c>
      <c r="C1758" s="57"/>
      <c r="D1758" s="57"/>
      <c r="E1758" s="57"/>
      <c r="F1758" s="57"/>
      <c r="G1758" s="57"/>
      <c r="H1758" s="57"/>
      <c r="I1758" s="57"/>
      <c r="J1758" s="57"/>
      <c r="K1758" s="63"/>
      <c r="L1758" s="57"/>
      <c r="M1758" s="57"/>
      <c r="N1758" s="57"/>
      <c r="O1758" s="57"/>
      <c r="P1758" s="57"/>
      <c r="Q1758" s="57"/>
    </row>
    <row r="1759">
      <c r="A1759" s="60" t="s">
        <v>923</v>
      </c>
      <c r="B1759" s="60" t="s">
        <v>109</v>
      </c>
      <c r="C1759" s="57"/>
      <c r="D1759" s="57"/>
      <c r="E1759" s="57"/>
      <c r="F1759" s="57"/>
      <c r="G1759" s="57"/>
      <c r="H1759" s="57"/>
      <c r="I1759" s="57"/>
      <c r="J1759" s="57"/>
      <c r="K1759" s="63"/>
      <c r="L1759" s="57"/>
      <c r="M1759" s="57"/>
      <c r="N1759" s="57"/>
      <c r="O1759" s="57"/>
      <c r="P1759" s="57"/>
      <c r="Q1759" s="57"/>
    </row>
    <row r="1760">
      <c r="A1760" s="60" t="s">
        <v>924</v>
      </c>
      <c r="B1760" s="60" t="s">
        <v>436</v>
      </c>
      <c r="C1760" s="57"/>
      <c r="D1760" s="57"/>
      <c r="E1760" s="57"/>
      <c r="F1760" s="57"/>
      <c r="G1760" s="57"/>
      <c r="H1760" s="57"/>
      <c r="I1760" s="57"/>
      <c r="J1760" s="57"/>
      <c r="K1760" s="63"/>
      <c r="L1760" s="57"/>
      <c r="M1760" s="57"/>
      <c r="N1760" s="57"/>
      <c r="O1760" s="57"/>
      <c r="P1760" s="57"/>
      <c r="Q1760" s="57"/>
    </row>
    <row r="1761">
      <c r="A1761" s="60" t="s">
        <v>925</v>
      </c>
      <c r="B1761" s="60" t="s">
        <v>440</v>
      </c>
      <c r="C1761" s="57"/>
      <c r="D1761" s="57"/>
      <c r="E1761" s="57"/>
      <c r="F1761" s="57"/>
      <c r="G1761" s="57"/>
      <c r="H1761" s="57"/>
      <c r="I1761" s="57"/>
      <c r="J1761" s="57"/>
      <c r="K1761" s="63"/>
      <c r="L1761" s="57"/>
      <c r="M1761" s="57"/>
      <c r="N1761" s="57"/>
      <c r="O1761" s="57"/>
      <c r="P1761" s="57"/>
      <c r="Q1761" s="57"/>
    </row>
    <row r="1762">
      <c r="A1762" s="60" t="s">
        <v>926</v>
      </c>
      <c r="B1762" s="60">
        <v>10.0</v>
      </c>
      <c r="C1762" s="57"/>
      <c r="D1762" s="57"/>
      <c r="E1762" s="57"/>
      <c r="F1762" s="57"/>
      <c r="G1762" s="57"/>
      <c r="H1762" s="57"/>
      <c r="I1762" s="57"/>
      <c r="J1762" s="57"/>
      <c r="K1762" s="63"/>
      <c r="L1762" s="57"/>
      <c r="M1762" s="57"/>
      <c r="N1762" s="57"/>
      <c r="O1762" s="57"/>
      <c r="P1762" s="57"/>
      <c r="Q1762" s="57"/>
    </row>
    <row r="1763">
      <c r="A1763" s="60" t="s">
        <v>927</v>
      </c>
      <c r="B1763" s="60">
        <v>2.0</v>
      </c>
      <c r="C1763" s="57"/>
      <c r="D1763" s="57"/>
      <c r="E1763" s="57"/>
      <c r="F1763" s="57"/>
      <c r="G1763" s="57"/>
      <c r="H1763" s="57"/>
      <c r="I1763" s="57"/>
      <c r="J1763" s="57"/>
      <c r="K1763" s="63"/>
      <c r="L1763" s="57"/>
      <c r="M1763" s="57"/>
      <c r="N1763" s="57"/>
      <c r="O1763" s="57"/>
      <c r="P1763" s="57"/>
      <c r="Q1763" s="57"/>
    </row>
    <row r="1764">
      <c r="A1764" s="60" t="s">
        <v>928</v>
      </c>
      <c r="B1764" s="60" t="s">
        <v>411</v>
      </c>
      <c r="C1764" s="57"/>
      <c r="D1764" s="57"/>
      <c r="E1764" s="57"/>
      <c r="F1764" s="57"/>
      <c r="G1764" s="57"/>
      <c r="H1764" s="57"/>
      <c r="I1764" s="57"/>
      <c r="J1764" s="57"/>
      <c r="K1764" s="63"/>
      <c r="L1764" s="57"/>
      <c r="M1764" s="57"/>
      <c r="N1764" s="57"/>
      <c r="O1764" s="57"/>
      <c r="P1764" s="57"/>
      <c r="Q1764" s="57"/>
    </row>
    <row r="1765">
      <c r="A1765" s="60" t="s">
        <v>929</v>
      </c>
      <c r="B1765" s="60" t="s">
        <v>473</v>
      </c>
      <c r="C1765" s="57"/>
      <c r="D1765" s="57"/>
      <c r="E1765" s="57"/>
      <c r="F1765" s="57"/>
      <c r="G1765" s="57"/>
      <c r="H1765" s="57"/>
      <c r="I1765" s="57"/>
      <c r="J1765" s="57"/>
      <c r="K1765" s="63"/>
      <c r="L1765" s="57"/>
      <c r="M1765" s="57"/>
      <c r="N1765" s="57"/>
      <c r="O1765" s="57"/>
      <c r="P1765" s="57"/>
      <c r="Q1765" s="57"/>
    </row>
    <row r="1766">
      <c r="A1766" s="60" t="s">
        <v>930</v>
      </c>
      <c r="B1766" s="60" t="s">
        <v>445</v>
      </c>
      <c r="C1766" s="57"/>
      <c r="D1766" s="57"/>
      <c r="E1766" s="57"/>
      <c r="F1766" s="57"/>
      <c r="G1766" s="57"/>
      <c r="H1766" s="57"/>
      <c r="I1766" s="57"/>
      <c r="J1766" s="57"/>
      <c r="K1766" s="63"/>
      <c r="L1766" s="57"/>
      <c r="M1766" s="57"/>
      <c r="N1766" s="57"/>
      <c r="O1766" s="57"/>
      <c r="P1766" s="57"/>
      <c r="Q1766" s="57"/>
    </row>
    <row r="1767">
      <c r="A1767" s="60" t="s">
        <v>931</v>
      </c>
      <c r="B1767" s="60" t="s">
        <v>445</v>
      </c>
      <c r="C1767" s="57"/>
      <c r="D1767" s="57"/>
      <c r="E1767" s="57"/>
      <c r="F1767" s="57"/>
      <c r="G1767" s="57"/>
      <c r="H1767" s="57"/>
      <c r="I1767" s="57"/>
      <c r="J1767" s="57"/>
      <c r="K1767" s="63"/>
      <c r="L1767" s="57"/>
      <c r="M1767" s="57"/>
      <c r="N1767" s="57"/>
      <c r="O1767" s="57"/>
      <c r="P1767" s="57"/>
      <c r="Q1767" s="57"/>
    </row>
    <row r="1768">
      <c r="A1768" s="60" t="s">
        <v>932</v>
      </c>
      <c r="B1768" s="60" t="s">
        <v>469</v>
      </c>
      <c r="C1768" s="57"/>
      <c r="D1768" s="57"/>
      <c r="E1768" s="57"/>
      <c r="F1768" s="57"/>
      <c r="G1768" s="57"/>
      <c r="H1768" s="57"/>
      <c r="I1768" s="57"/>
      <c r="J1768" s="57"/>
      <c r="K1768" s="63"/>
      <c r="L1768" s="57"/>
      <c r="M1768" s="57"/>
      <c r="N1768" s="57"/>
      <c r="O1768" s="57"/>
      <c r="P1768" s="57"/>
      <c r="Q1768" s="57"/>
    </row>
    <row r="1769">
      <c r="A1769" s="60" t="s">
        <v>933</v>
      </c>
      <c r="B1769" s="60" t="s">
        <v>430</v>
      </c>
      <c r="C1769" s="57"/>
      <c r="D1769" s="57"/>
      <c r="E1769" s="57"/>
      <c r="F1769" s="57"/>
      <c r="G1769" s="57"/>
      <c r="H1769" s="57"/>
      <c r="I1769" s="57"/>
      <c r="J1769" s="57"/>
      <c r="K1769" s="63"/>
      <c r="L1769" s="57"/>
      <c r="M1769" s="57"/>
      <c r="N1769" s="57"/>
      <c r="O1769" s="57"/>
      <c r="P1769" s="57"/>
      <c r="Q1769" s="57"/>
    </row>
    <row r="1770">
      <c r="A1770" s="60" t="s">
        <v>934</v>
      </c>
      <c r="B1770" s="60" t="s">
        <v>431</v>
      </c>
      <c r="C1770" s="57"/>
      <c r="D1770" s="57"/>
      <c r="E1770" s="57"/>
      <c r="F1770" s="57"/>
      <c r="G1770" s="57"/>
      <c r="H1770" s="57"/>
      <c r="I1770" s="57"/>
      <c r="J1770" s="57"/>
      <c r="K1770" s="63"/>
      <c r="L1770" s="57"/>
      <c r="M1770" s="57"/>
      <c r="N1770" s="57"/>
      <c r="O1770" s="57"/>
      <c r="P1770" s="57"/>
      <c r="Q1770" s="57"/>
    </row>
    <row r="1771">
      <c r="A1771" s="60" t="s">
        <v>935</v>
      </c>
      <c r="B1771" s="60" t="s">
        <v>609</v>
      </c>
      <c r="C1771" s="57"/>
      <c r="D1771" s="57"/>
      <c r="E1771" s="57"/>
      <c r="F1771" s="57"/>
      <c r="G1771" s="57"/>
      <c r="H1771" s="57"/>
      <c r="I1771" s="57"/>
      <c r="J1771" s="57"/>
      <c r="K1771" s="63"/>
      <c r="L1771" s="57"/>
      <c r="M1771" s="57"/>
      <c r="N1771" s="57"/>
      <c r="O1771" s="57"/>
      <c r="P1771" s="57"/>
      <c r="Q1771" s="57"/>
    </row>
    <row r="1772">
      <c r="A1772" s="60" t="s">
        <v>936</v>
      </c>
      <c r="B1772" s="60" t="s">
        <v>466</v>
      </c>
      <c r="C1772" s="57"/>
      <c r="D1772" s="57"/>
      <c r="E1772" s="57"/>
      <c r="F1772" s="57"/>
      <c r="G1772" s="57"/>
      <c r="H1772" s="57"/>
      <c r="I1772" s="57"/>
      <c r="J1772" s="57"/>
      <c r="K1772" s="63"/>
      <c r="L1772" s="57"/>
      <c r="M1772" s="57"/>
      <c r="N1772" s="57"/>
      <c r="O1772" s="57"/>
      <c r="P1772" s="57"/>
      <c r="Q1772" s="57"/>
    </row>
    <row r="1773">
      <c r="A1773" s="60" t="s">
        <v>937</v>
      </c>
      <c r="B1773" s="60" t="s">
        <v>464</v>
      </c>
      <c r="C1773" s="57"/>
      <c r="D1773" s="57"/>
      <c r="E1773" s="57"/>
      <c r="F1773" s="57"/>
      <c r="G1773" s="57"/>
      <c r="H1773" s="57"/>
      <c r="I1773" s="57"/>
      <c r="J1773" s="57"/>
      <c r="K1773" s="63"/>
      <c r="L1773" s="57"/>
      <c r="M1773" s="57"/>
      <c r="N1773" s="57"/>
      <c r="O1773" s="57"/>
      <c r="P1773" s="57"/>
      <c r="Q1773" s="57"/>
    </row>
    <row r="1774">
      <c r="A1774" s="60" t="s">
        <v>938</v>
      </c>
      <c r="B1774" s="60" t="s">
        <v>109</v>
      </c>
      <c r="C1774" s="57"/>
      <c r="D1774" s="57"/>
      <c r="E1774" s="57"/>
      <c r="F1774" s="57"/>
      <c r="G1774" s="57"/>
      <c r="H1774" s="57"/>
      <c r="I1774" s="57"/>
      <c r="J1774" s="57"/>
      <c r="K1774" s="63"/>
      <c r="L1774" s="57"/>
      <c r="M1774" s="57"/>
      <c r="N1774" s="57"/>
      <c r="O1774" s="57"/>
      <c r="P1774" s="57"/>
      <c r="Q1774" s="57"/>
    </row>
    <row r="1775">
      <c r="A1775" s="60" t="s">
        <v>939</v>
      </c>
      <c r="B1775" s="60" t="s">
        <v>487</v>
      </c>
      <c r="C1775" s="57"/>
      <c r="D1775" s="57"/>
      <c r="E1775" s="57"/>
      <c r="F1775" s="57"/>
      <c r="G1775" s="57"/>
      <c r="H1775" s="57"/>
      <c r="I1775" s="57"/>
      <c r="J1775" s="57"/>
      <c r="K1775" s="63"/>
      <c r="L1775" s="57"/>
      <c r="M1775" s="57"/>
      <c r="N1775" s="57"/>
      <c r="O1775" s="57"/>
      <c r="P1775" s="57"/>
      <c r="Q1775" s="57"/>
    </row>
    <row r="1776">
      <c r="A1776" s="60" t="s">
        <v>940</v>
      </c>
      <c r="B1776" s="60">
        <v>5.0</v>
      </c>
      <c r="C1776" s="57"/>
      <c r="D1776" s="57"/>
      <c r="E1776" s="57"/>
      <c r="F1776" s="57"/>
      <c r="G1776" s="57"/>
      <c r="H1776" s="57"/>
      <c r="I1776" s="57"/>
      <c r="J1776" s="57"/>
      <c r="K1776" s="63"/>
      <c r="L1776" s="57"/>
      <c r="M1776" s="57"/>
      <c r="N1776" s="57"/>
      <c r="O1776" s="57"/>
      <c r="P1776" s="57"/>
      <c r="Q1776" s="57"/>
    </row>
    <row r="1777">
      <c r="A1777" s="60" t="s">
        <v>941</v>
      </c>
      <c r="B1777" s="60" t="s">
        <v>445</v>
      </c>
      <c r="C1777" s="57"/>
      <c r="D1777" s="57"/>
      <c r="E1777" s="57"/>
      <c r="F1777" s="57"/>
      <c r="G1777" s="57"/>
      <c r="H1777" s="57"/>
      <c r="I1777" s="57"/>
      <c r="J1777" s="57"/>
      <c r="K1777" s="63"/>
      <c r="L1777" s="57"/>
      <c r="M1777" s="57"/>
      <c r="N1777" s="57"/>
      <c r="O1777" s="57"/>
      <c r="P1777" s="57"/>
      <c r="Q1777" s="57"/>
    </row>
    <row r="1778">
      <c r="A1778" s="60" t="s">
        <v>942</v>
      </c>
      <c r="B1778" s="60" t="s">
        <v>445</v>
      </c>
      <c r="C1778" s="57"/>
      <c r="D1778" s="57"/>
      <c r="E1778" s="57"/>
      <c r="F1778" s="57"/>
      <c r="G1778" s="57"/>
      <c r="H1778" s="57"/>
      <c r="I1778" s="57"/>
      <c r="J1778" s="57"/>
      <c r="K1778" s="63"/>
      <c r="L1778" s="57"/>
      <c r="M1778" s="57"/>
      <c r="N1778" s="57"/>
      <c r="O1778" s="57"/>
      <c r="P1778" s="57"/>
      <c r="Q1778" s="57"/>
    </row>
    <row r="1779">
      <c r="A1779" s="60" t="s">
        <v>943</v>
      </c>
      <c r="B1779" s="60">
        <v>1.0</v>
      </c>
      <c r="C1779" s="57"/>
      <c r="D1779" s="57"/>
      <c r="E1779" s="57"/>
      <c r="F1779" s="57"/>
      <c r="G1779" s="57"/>
      <c r="H1779" s="57"/>
      <c r="I1779" s="57"/>
      <c r="J1779" s="57"/>
      <c r="K1779" s="63"/>
      <c r="L1779" s="57"/>
      <c r="M1779" s="57"/>
      <c r="N1779" s="57"/>
      <c r="O1779" s="57"/>
      <c r="P1779" s="57"/>
      <c r="Q1779" s="57"/>
    </row>
    <row r="1780">
      <c r="A1780" s="68" t="s">
        <v>285</v>
      </c>
      <c r="B1780" s="60" t="s">
        <v>459</v>
      </c>
      <c r="C1780" s="57"/>
      <c r="D1780" s="57"/>
      <c r="E1780" s="57"/>
      <c r="F1780" s="57"/>
      <c r="G1780" s="57"/>
      <c r="H1780" s="57"/>
      <c r="I1780" s="57"/>
      <c r="J1780" s="57"/>
      <c r="K1780" s="63"/>
      <c r="L1780" s="57"/>
      <c r="M1780" s="57"/>
      <c r="N1780" s="57"/>
      <c r="O1780" s="57"/>
      <c r="P1780" s="57"/>
      <c r="Q1780" s="57"/>
    </row>
    <row r="1781">
      <c r="A1781" s="60" t="s">
        <v>38</v>
      </c>
      <c r="B1781" s="60"/>
      <c r="C1781" s="57"/>
      <c r="D1781" s="57"/>
      <c r="E1781" s="65">
        <v>250.0</v>
      </c>
      <c r="F1781" s="57">
        <f t="shared" ref="F1781:F1782" si="696">ROUNDDOWN(E1781*1.1,0)</f>
        <v>275</v>
      </c>
      <c r="G1781" s="57">
        <f t="shared" ref="G1781:G1782" si="697">ROUNDDOWN(E1781*1.21,0)</f>
        <v>302</v>
      </c>
      <c r="H1781" s="57">
        <f t="shared" ref="H1781:H1782" si="698">ROUNDDOWN(E1781*1.33,0)</f>
        <v>332</v>
      </c>
      <c r="I1781" s="57">
        <f t="shared" ref="I1781:I1782" si="699">ROUNDDOWN(E1781*1.46,0)</f>
        <v>365</v>
      </c>
      <c r="J1781" s="57">
        <f t="shared" ref="J1781:J1782" si="700">ROUNDDOWN(E1781*1.6,0)</f>
        <v>400</v>
      </c>
      <c r="K1781" s="63">
        <f t="shared" ref="K1781:K1782" si="701">ROUNDDOWN(E1781*1.76,0)</f>
        <v>440</v>
      </c>
      <c r="L1781" s="57">
        <f t="shared" ref="L1781:L1782" si="702">ROUNDDOWN(E1781*1.93,0)</f>
        <v>482</v>
      </c>
      <c r="M1781" s="57">
        <f t="shared" ref="M1781:M1782" si="703">ROUNDDOWN(E1781*2.12,0)</f>
        <v>530</v>
      </c>
      <c r="N1781" s="57">
        <f t="shared" ref="N1781:N1782" si="704">ROUNDDOWN(E1781*2.33,0)</f>
        <v>582</v>
      </c>
      <c r="O1781" s="57">
        <f t="shared" ref="O1781:O1782" si="705">ROUNDDOWN(E1781*2.56,0)</f>
        <v>640</v>
      </c>
      <c r="P1781" s="57">
        <f t="shared" ref="P1781:P1782" si="706">ROUNDDOWN(E1781*2.81,0)</f>
        <v>702</v>
      </c>
      <c r="Q1781" s="57"/>
    </row>
    <row r="1782">
      <c r="A1782" s="60" t="s">
        <v>24</v>
      </c>
      <c r="B1782" s="60"/>
      <c r="C1782" s="57"/>
      <c r="D1782" s="57"/>
      <c r="E1782" s="65">
        <v>55.0</v>
      </c>
      <c r="F1782" s="57">
        <f t="shared" si="696"/>
        <v>60</v>
      </c>
      <c r="G1782" s="57">
        <f t="shared" si="697"/>
        <v>66</v>
      </c>
      <c r="H1782" s="57">
        <f t="shared" si="698"/>
        <v>73</v>
      </c>
      <c r="I1782" s="57">
        <f t="shared" si="699"/>
        <v>80</v>
      </c>
      <c r="J1782" s="57">
        <f t="shared" si="700"/>
        <v>88</v>
      </c>
      <c r="K1782" s="63">
        <f t="shared" si="701"/>
        <v>96</v>
      </c>
      <c r="L1782" s="57">
        <f t="shared" si="702"/>
        <v>106</v>
      </c>
      <c r="M1782" s="57">
        <f t="shared" si="703"/>
        <v>116</v>
      </c>
      <c r="N1782" s="57">
        <f t="shared" si="704"/>
        <v>128</v>
      </c>
      <c r="O1782" s="57">
        <f t="shared" si="705"/>
        <v>140</v>
      </c>
      <c r="P1782" s="57">
        <f t="shared" si="706"/>
        <v>154</v>
      </c>
      <c r="Q1782" s="57"/>
    </row>
    <row r="1783">
      <c r="A1783" s="60" t="s">
        <v>428</v>
      </c>
      <c r="B1783" s="60" t="s">
        <v>456</v>
      </c>
      <c r="C1783" s="57"/>
      <c r="D1783" s="57"/>
      <c r="E1783" s="57"/>
      <c r="F1783" s="57"/>
      <c r="G1783" s="57"/>
      <c r="H1783" s="57"/>
      <c r="I1783" s="57"/>
      <c r="J1783" s="57"/>
      <c r="K1783" s="63"/>
      <c r="L1783" s="57"/>
      <c r="M1783" s="57"/>
      <c r="N1783" s="57"/>
      <c r="O1783" s="57"/>
      <c r="P1783" s="57"/>
      <c r="Q1783" s="57"/>
    </row>
    <row r="1784">
      <c r="A1784" s="60" t="s">
        <v>55</v>
      </c>
      <c r="B1784" s="60" t="s">
        <v>430</v>
      </c>
      <c r="C1784" s="57"/>
      <c r="D1784" s="57"/>
      <c r="E1784" s="57"/>
      <c r="F1784" s="57"/>
      <c r="G1784" s="57"/>
      <c r="H1784" s="57"/>
      <c r="I1784" s="57"/>
      <c r="J1784" s="57"/>
      <c r="K1784" s="63"/>
      <c r="L1784" s="57"/>
      <c r="M1784" s="57"/>
      <c r="N1784" s="57"/>
      <c r="O1784" s="57"/>
      <c r="P1784" s="57"/>
      <c r="Q1784" s="57"/>
    </row>
    <row r="1785">
      <c r="A1785" s="60" t="s">
        <v>51</v>
      </c>
      <c r="B1785" s="60" t="s">
        <v>451</v>
      </c>
      <c r="C1785" s="57"/>
      <c r="D1785" s="57"/>
      <c r="E1785" s="57"/>
      <c r="F1785" s="57"/>
      <c r="G1785" s="57"/>
      <c r="H1785" s="57"/>
      <c r="I1785" s="57"/>
      <c r="J1785" s="57"/>
      <c r="K1785" s="63"/>
      <c r="L1785" s="57"/>
      <c r="M1785" s="57"/>
      <c r="N1785" s="57"/>
      <c r="O1785" s="57"/>
      <c r="P1785" s="57"/>
      <c r="Q1785" s="57"/>
    </row>
    <row r="1786">
      <c r="A1786" s="60" t="s">
        <v>49</v>
      </c>
      <c r="B1786" s="60" t="s">
        <v>944</v>
      </c>
      <c r="C1786" s="57"/>
      <c r="D1786" s="57"/>
      <c r="E1786" s="57"/>
      <c r="F1786" s="57"/>
      <c r="G1786" s="57"/>
      <c r="H1786" s="57"/>
      <c r="I1786" s="57"/>
      <c r="J1786" s="57"/>
      <c r="K1786" s="63"/>
      <c r="L1786" s="57"/>
      <c r="M1786" s="57"/>
      <c r="N1786" s="57"/>
      <c r="O1786" s="57"/>
      <c r="P1786" s="57"/>
      <c r="Q1786" s="57"/>
    </row>
    <row r="1787">
      <c r="A1787" s="60" t="s">
        <v>432</v>
      </c>
      <c r="B1787" s="60" t="s">
        <v>430</v>
      </c>
      <c r="C1787" s="57"/>
      <c r="D1787" s="57"/>
      <c r="E1787" s="57"/>
      <c r="F1787" s="57"/>
      <c r="G1787" s="57"/>
      <c r="H1787" s="57"/>
      <c r="I1787" s="57"/>
      <c r="J1787" s="57"/>
      <c r="K1787" s="63"/>
      <c r="L1787" s="57"/>
      <c r="M1787" s="57"/>
      <c r="N1787" s="57"/>
      <c r="O1787" s="57"/>
      <c r="P1787" s="57"/>
      <c r="Q1787" s="57"/>
    </row>
    <row r="1788">
      <c r="A1788" s="60" t="s">
        <v>53</v>
      </c>
      <c r="B1788" s="60" t="s">
        <v>851</v>
      </c>
      <c r="C1788" s="57"/>
      <c r="D1788" s="57"/>
      <c r="E1788" s="57"/>
      <c r="F1788" s="57"/>
      <c r="G1788" s="57"/>
      <c r="H1788" s="57"/>
      <c r="I1788" s="57"/>
      <c r="J1788" s="57"/>
      <c r="K1788" s="63"/>
      <c r="L1788" s="57"/>
      <c r="M1788" s="57"/>
      <c r="N1788" s="57"/>
      <c r="O1788" s="57"/>
      <c r="P1788" s="57"/>
      <c r="Q1788" s="57"/>
    </row>
    <row r="1789">
      <c r="A1789" s="60" t="s">
        <v>50</v>
      </c>
      <c r="B1789" s="60" t="s">
        <v>425</v>
      </c>
      <c r="C1789" s="57"/>
      <c r="D1789" s="57"/>
      <c r="E1789" s="57"/>
      <c r="F1789" s="57"/>
      <c r="G1789" s="57"/>
      <c r="H1789" s="57"/>
      <c r="I1789" s="57"/>
      <c r="J1789" s="57"/>
      <c r="K1789" s="63"/>
      <c r="L1789" s="57"/>
      <c r="M1789" s="57"/>
      <c r="N1789" s="57"/>
      <c r="O1789" s="57"/>
      <c r="P1789" s="57"/>
      <c r="Q1789" s="57"/>
    </row>
    <row r="1790">
      <c r="A1790" s="60" t="s">
        <v>63</v>
      </c>
      <c r="B1790" s="60" t="s">
        <v>433</v>
      </c>
      <c r="C1790" s="57"/>
      <c r="D1790" s="57"/>
      <c r="E1790" s="57"/>
      <c r="F1790" s="57"/>
      <c r="G1790" s="57"/>
      <c r="H1790" s="57"/>
      <c r="I1790" s="57"/>
      <c r="J1790" s="57"/>
      <c r="K1790" s="63"/>
      <c r="L1790" s="57"/>
      <c r="M1790" s="57"/>
      <c r="N1790" s="57"/>
      <c r="O1790" s="57"/>
      <c r="P1790" s="57"/>
      <c r="Q1790" s="57"/>
    </row>
    <row r="1791">
      <c r="A1791" s="60" t="s">
        <v>597</v>
      </c>
      <c r="B1791" s="82">
        <v>-1.0</v>
      </c>
      <c r="C1791" s="57"/>
      <c r="D1791" s="57"/>
      <c r="E1791" s="57"/>
      <c r="F1791" s="57"/>
      <c r="G1791" s="57"/>
      <c r="H1791" s="57"/>
      <c r="I1791" s="57"/>
      <c r="J1791" s="57"/>
      <c r="K1791" s="63"/>
      <c r="L1791" s="57"/>
      <c r="M1791" s="57"/>
      <c r="N1791" s="57"/>
      <c r="O1791" s="57"/>
      <c r="P1791" s="57"/>
      <c r="Q1791" s="57"/>
    </row>
    <row r="1792">
      <c r="A1792" s="60" t="s">
        <v>438</v>
      </c>
      <c r="B1792" s="60" t="s">
        <v>436</v>
      </c>
      <c r="C1792" s="57"/>
      <c r="D1792" s="57"/>
      <c r="E1792" s="57"/>
      <c r="F1792" s="57"/>
      <c r="G1792" s="57"/>
      <c r="H1792" s="57"/>
      <c r="I1792" s="57"/>
      <c r="J1792" s="57"/>
      <c r="K1792" s="63"/>
      <c r="L1792" s="57"/>
      <c r="M1792" s="57"/>
      <c r="N1792" s="57"/>
      <c r="O1792" s="57"/>
      <c r="P1792" s="57"/>
      <c r="Q1792" s="57"/>
    </row>
    <row r="1793">
      <c r="A1793" s="60" t="s">
        <v>439</v>
      </c>
      <c r="B1793" s="60" t="s">
        <v>502</v>
      </c>
      <c r="C1793" s="57"/>
      <c r="D1793" s="57"/>
      <c r="E1793" s="57"/>
      <c r="F1793" s="57"/>
      <c r="G1793" s="57"/>
      <c r="H1793" s="57"/>
      <c r="I1793" s="57"/>
      <c r="J1793" s="57"/>
      <c r="K1793" s="63"/>
      <c r="L1793" s="57"/>
      <c r="M1793" s="57"/>
      <c r="N1793" s="57"/>
      <c r="O1793" s="57"/>
      <c r="P1793" s="57"/>
      <c r="Q1793" s="57"/>
    </row>
    <row r="1794">
      <c r="A1794" s="60" t="s">
        <v>441</v>
      </c>
      <c r="B1794" s="60">
        <v>4.0</v>
      </c>
      <c r="C1794" s="57"/>
      <c r="D1794" s="57"/>
      <c r="E1794" s="57"/>
      <c r="F1794" s="57"/>
      <c r="G1794" s="57"/>
      <c r="H1794" s="57"/>
      <c r="I1794" s="57"/>
      <c r="J1794" s="57"/>
      <c r="K1794" s="63"/>
      <c r="L1794" s="57"/>
      <c r="M1794" s="57"/>
      <c r="N1794" s="57"/>
      <c r="O1794" s="57"/>
      <c r="P1794" s="57"/>
      <c r="Q1794" s="57"/>
    </row>
    <row r="1795">
      <c r="A1795" s="60" t="s">
        <v>444</v>
      </c>
      <c r="B1795" s="60" t="s">
        <v>458</v>
      </c>
      <c r="C1795" s="57"/>
      <c r="D1795" s="57"/>
      <c r="E1795" s="57"/>
      <c r="F1795" s="57"/>
      <c r="G1795" s="57"/>
      <c r="H1795" s="57"/>
      <c r="I1795" s="57"/>
      <c r="J1795" s="57"/>
      <c r="K1795" s="63"/>
      <c r="L1795" s="57"/>
      <c r="M1795" s="57"/>
      <c r="N1795" s="57"/>
      <c r="O1795" s="57"/>
      <c r="P1795" s="57"/>
      <c r="Q1795" s="57"/>
    </row>
    <row r="1796">
      <c r="A1796" s="60" t="s">
        <v>446</v>
      </c>
      <c r="B1796" s="60" t="s">
        <v>461</v>
      </c>
      <c r="C1796" s="57"/>
      <c r="D1796" s="57"/>
      <c r="E1796" s="57"/>
      <c r="F1796" s="57"/>
      <c r="G1796" s="57"/>
      <c r="H1796" s="57"/>
      <c r="I1796" s="57"/>
      <c r="J1796" s="57"/>
      <c r="K1796" s="63"/>
      <c r="L1796" s="57"/>
      <c r="M1796" s="57"/>
      <c r="N1796" s="57"/>
      <c r="O1796" s="57"/>
      <c r="P1796" s="57"/>
      <c r="Q1796" s="57"/>
    </row>
    <row r="1797">
      <c r="A1797" s="60" t="s">
        <v>945</v>
      </c>
      <c r="B1797" s="60" t="s">
        <v>473</v>
      </c>
      <c r="C1797" s="57"/>
      <c r="D1797" s="57"/>
      <c r="E1797" s="57"/>
      <c r="F1797" s="57"/>
      <c r="G1797" s="57"/>
      <c r="H1797" s="57"/>
      <c r="I1797" s="57"/>
      <c r="J1797" s="57"/>
      <c r="K1797" s="63"/>
      <c r="L1797" s="57"/>
      <c r="M1797" s="57"/>
      <c r="N1797" s="57"/>
      <c r="O1797" s="57"/>
      <c r="P1797" s="57"/>
      <c r="Q1797" s="57"/>
    </row>
    <row r="1798">
      <c r="A1798" s="60" t="s">
        <v>674</v>
      </c>
      <c r="B1798" s="60" t="s">
        <v>857</v>
      </c>
      <c r="C1798" s="57"/>
      <c r="D1798" s="57"/>
      <c r="E1798" s="57"/>
      <c r="F1798" s="57"/>
      <c r="G1798" s="57"/>
      <c r="H1798" s="57"/>
      <c r="I1798" s="57"/>
      <c r="J1798" s="57"/>
      <c r="K1798" s="63"/>
      <c r="L1798" s="57"/>
      <c r="M1798" s="57"/>
      <c r="N1798" s="57"/>
      <c r="O1798" s="57"/>
      <c r="P1798" s="57"/>
      <c r="Q1798" s="57"/>
    </row>
    <row r="1799">
      <c r="A1799" s="60" t="s">
        <v>57</v>
      </c>
      <c r="B1799" s="60">
        <v>3.0</v>
      </c>
      <c r="C1799" s="57"/>
      <c r="D1799" s="57"/>
      <c r="E1799" s="57"/>
      <c r="F1799" s="57"/>
      <c r="G1799" s="57"/>
      <c r="H1799" s="57"/>
      <c r="I1799" s="57"/>
      <c r="J1799" s="57"/>
      <c r="K1799" s="63"/>
      <c r="L1799" s="57"/>
      <c r="M1799" s="57"/>
      <c r="N1799" s="57"/>
      <c r="O1799" s="57"/>
      <c r="P1799" s="57"/>
      <c r="Q1799" s="57"/>
    </row>
    <row r="1800">
      <c r="A1800" s="60" t="s">
        <v>489</v>
      </c>
      <c r="B1800" s="60" t="s">
        <v>505</v>
      </c>
      <c r="C1800" s="57"/>
      <c r="D1800" s="57"/>
      <c r="E1800" s="57"/>
      <c r="F1800" s="57"/>
      <c r="G1800" s="57"/>
      <c r="H1800" s="57"/>
      <c r="I1800" s="57"/>
      <c r="J1800" s="57"/>
      <c r="K1800" s="63"/>
      <c r="L1800" s="57"/>
      <c r="M1800" s="57"/>
      <c r="N1800" s="57"/>
      <c r="O1800" s="57"/>
      <c r="P1800" s="57"/>
      <c r="Q1800" s="57"/>
    </row>
    <row r="1801">
      <c r="A1801" s="60" t="s">
        <v>449</v>
      </c>
      <c r="B1801" s="60" t="s">
        <v>450</v>
      </c>
      <c r="C1801" s="57"/>
      <c r="D1801" s="57"/>
      <c r="E1801" s="57"/>
      <c r="F1801" s="57"/>
      <c r="G1801" s="57"/>
      <c r="H1801" s="57"/>
      <c r="I1801" s="57"/>
      <c r="J1801" s="57"/>
      <c r="K1801" s="63"/>
      <c r="L1801" s="57"/>
      <c r="M1801" s="57"/>
      <c r="N1801" s="57"/>
      <c r="O1801" s="57"/>
      <c r="P1801" s="57"/>
      <c r="Q1801" s="57"/>
    </row>
    <row r="1802">
      <c r="A1802" s="76" t="s">
        <v>396</v>
      </c>
      <c r="B1802" s="60" t="s">
        <v>416</v>
      </c>
      <c r="C1802" s="57"/>
      <c r="D1802" s="57"/>
      <c r="E1802" s="57"/>
      <c r="F1802" s="57"/>
      <c r="G1802" s="57"/>
      <c r="H1802" s="57"/>
      <c r="I1802" s="57"/>
      <c r="J1802" s="57"/>
      <c r="K1802" s="63"/>
      <c r="L1802" s="57"/>
      <c r="M1802" s="57"/>
      <c r="N1802" s="57"/>
      <c r="O1802" s="57"/>
      <c r="P1802" s="57"/>
      <c r="Q1802" s="57"/>
    </row>
    <row r="1803">
      <c r="A1803" s="60" t="s">
        <v>74</v>
      </c>
      <c r="B1803" s="60"/>
      <c r="C1803" s="57"/>
      <c r="D1803" s="57"/>
      <c r="E1803" s="57"/>
      <c r="F1803" s="57"/>
      <c r="G1803" s="57"/>
      <c r="H1803" s="65">
        <f t="shared" ref="H1803:P1803" si="707">H$3+0</f>
        <v>6</v>
      </c>
      <c r="I1803" s="65">
        <f t="shared" si="707"/>
        <v>7</v>
      </c>
      <c r="J1803" s="65">
        <f t="shared" si="707"/>
        <v>8</v>
      </c>
      <c r="K1803" s="66">
        <f t="shared" si="707"/>
        <v>9</v>
      </c>
      <c r="L1803" s="65">
        <f t="shared" si="707"/>
        <v>10</v>
      </c>
      <c r="M1803" s="65">
        <f t="shared" si="707"/>
        <v>11</v>
      </c>
      <c r="N1803" s="65">
        <f t="shared" si="707"/>
        <v>12</v>
      </c>
      <c r="O1803" s="65">
        <f t="shared" si="707"/>
        <v>13</v>
      </c>
      <c r="P1803" s="65">
        <f t="shared" si="707"/>
        <v>14</v>
      </c>
      <c r="Q1803" s="57"/>
    </row>
    <row r="1804">
      <c r="A1804" s="60" t="s">
        <v>75</v>
      </c>
      <c r="B1804" s="60"/>
      <c r="C1804" s="57"/>
      <c r="D1804" s="57"/>
      <c r="E1804" s="57"/>
      <c r="F1804" s="57"/>
      <c r="G1804" s="57"/>
      <c r="H1804" s="65">
        <v>6.0</v>
      </c>
      <c r="I1804" s="65">
        <v>7.0</v>
      </c>
      <c r="J1804" s="65">
        <v>8.0</v>
      </c>
      <c r="K1804" s="66">
        <v>9.0</v>
      </c>
      <c r="L1804" s="65">
        <v>10.0</v>
      </c>
      <c r="M1804" s="65">
        <v>11.0</v>
      </c>
      <c r="N1804" s="65">
        <v>12.0</v>
      </c>
      <c r="O1804" s="65">
        <v>13.0</v>
      </c>
      <c r="P1804" s="65">
        <v>14.0</v>
      </c>
      <c r="Q1804" s="57"/>
    </row>
    <row r="1805">
      <c r="A1805" s="60" t="s">
        <v>76</v>
      </c>
      <c r="B1805" s="60"/>
      <c r="C1805" s="57"/>
      <c r="D1805" s="57"/>
      <c r="E1805" s="57"/>
      <c r="F1805" s="57"/>
      <c r="G1805" s="57"/>
      <c r="H1805" s="65">
        <v>6.0</v>
      </c>
      <c r="I1805" s="65">
        <v>7.0</v>
      </c>
      <c r="J1805" s="65">
        <v>8.0</v>
      </c>
      <c r="K1805" s="66">
        <v>9.0</v>
      </c>
      <c r="L1805" s="65">
        <v>10.0</v>
      </c>
      <c r="M1805" s="65">
        <v>11.0</v>
      </c>
      <c r="N1805" s="65">
        <v>12.0</v>
      </c>
      <c r="O1805" s="65">
        <v>13.0</v>
      </c>
      <c r="P1805" s="65">
        <v>14.0</v>
      </c>
      <c r="Q1805" s="57"/>
    </row>
    <row r="1806">
      <c r="A1806" s="60" t="s">
        <v>77</v>
      </c>
      <c r="B1806" s="60"/>
      <c r="C1806" s="57"/>
      <c r="D1806" s="57"/>
      <c r="E1806" s="57"/>
      <c r="F1806" s="57"/>
      <c r="G1806" s="57"/>
      <c r="H1806" s="65">
        <v>9.0</v>
      </c>
      <c r="I1806" s="65">
        <v>9.0</v>
      </c>
      <c r="J1806" s="65">
        <v>9.0</v>
      </c>
      <c r="K1806" s="66">
        <v>9.0</v>
      </c>
      <c r="L1806" s="65">
        <v>10.0</v>
      </c>
      <c r="M1806" s="65">
        <v>11.0</v>
      </c>
      <c r="N1806" s="65">
        <v>12.0</v>
      </c>
      <c r="O1806" s="65">
        <v>13.0</v>
      </c>
      <c r="P1806" s="65">
        <v>14.0</v>
      </c>
      <c r="Q1806" s="57"/>
    </row>
    <row r="1807">
      <c r="A1807" s="60" t="s">
        <v>62</v>
      </c>
      <c r="B1807" s="60" t="s">
        <v>430</v>
      </c>
      <c r="C1807" s="57"/>
      <c r="D1807" s="57"/>
      <c r="E1807" s="57"/>
      <c r="F1807" s="57"/>
      <c r="G1807" s="57"/>
      <c r="H1807" s="57"/>
      <c r="I1807" s="57"/>
      <c r="J1807" s="57"/>
      <c r="K1807" s="63"/>
      <c r="L1807" s="57"/>
      <c r="M1807" s="57"/>
      <c r="N1807" s="57"/>
      <c r="O1807" s="57"/>
      <c r="P1807" s="57"/>
      <c r="Q1807" s="57"/>
    </row>
    <row r="1808">
      <c r="A1808" s="60" t="s">
        <v>80</v>
      </c>
      <c r="B1808" s="60" t="s">
        <v>498</v>
      </c>
      <c r="C1808" s="57"/>
      <c r="D1808" s="57"/>
      <c r="E1808" s="57"/>
      <c r="F1808" s="57"/>
      <c r="G1808" s="57"/>
      <c r="H1808" s="57"/>
      <c r="I1808" s="57"/>
      <c r="J1808" s="57"/>
      <c r="K1808" s="63"/>
      <c r="L1808" s="57"/>
      <c r="M1808" s="57"/>
      <c r="N1808" s="57"/>
      <c r="O1808" s="57"/>
      <c r="P1808" s="57"/>
      <c r="Q1808" s="57"/>
    </row>
    <row r="1809">
      <c r="A1809" s="60" t="s">
        <v>597</v>
      </c>
      <c r="B1809" s="82">
        <v>-1.0</v>
      </c>
      <c r="C1809" s="57"/>
      <c r="D1809" s="57"/>
      <c r="E1809" s="57"/>
      <c r="F1809" s="57"/>
      <c r="G1809" s="57"/>
      <c r="H1809" s="57"/>
      <c r="I1809" s="57"/>
      <c r="J1809" s="57"/>
      <c r="K1809" s="63"/>
      <c r="L1809" s="57"/>
      <c r="M1809" s="57"/>
      <c r="N1809" s="57"/>
      <c r="O1809" s="57"/>
      <c r="P1809" s="57"/>
      <c r="Q1809" s="57"/>
    </row>
    <row r="1810">
      <c r="A1810" s="60" t="s">
        <v>946</v>
      </c>
      <c r="B1810" s="60" t="s">
        <v>433</v>
      </c>
      <c r="C1810" s="57"/>
      <c r="D1810" s="57"/>
      <c r="E1810" s="57"/>
      <c r="F1810" s="57"/>
      <c r="G1810" s="57"/>
      <c r="H1810" s="57"/>
      <c r="I1810" s="57"/>
      <c r="J1810" s="57"/>
      <c r="K1810" s="63"/>
      <c r="L1810" s="57"/>
      <c r="M1810" s="57"/>
      <c r="N1810" s="57"/>
      <c r="O1810" s="57"/>
      <c r="P1810" s="57"/>
      <c r="Q1810" s="57"/>
    </row>
    <row r="1811">
      <c r="A1811" s="60" t="s">
        <v>50</v>
      </c>
      <c r="B1811" s="60" t="s">
        <v>845</v>
      </c>
      <c r="C1811" s="57"/>
      <c r="D1811" s="57"/>
      <c r="E1811" s="57"/>
      <c r="F1811" s="57"/>
      <c r="G1811" s="57"/>
      <c r="H1811" s="57"/>
      <c r="I1811" s="57"/>
      <c r="J1811" s="57"/>
      <c r="K1811" s="63"/>
      <c r="L1811" s="57"/>
      <c r="M1811" s="57"/>
      <c r="N1811" s="57"/>
      <c r="O1811" s="57"/>
      <c r="P1811" s="57"/>
      <c r="Q1811" s="57"/>
    </row>
    <row r="1812">
      <c r="A1812" s="76" t="s">
        <v>287</v>
      </c>
      <c r="B1812" s="60" t="s">
        <v>570</v>
      </c>
      <c r="C1812" s="57"/>
      <c r="D1812" s="57"/>
      <c r="E1812" s="57"/>
      <c r="F1812" s="57"/>
      <c r="G1812" s="57"/>
      <c r="H1812" s="57"/>
      <c r="I1812" s="57"/>
      <c r="J1812" s="57"/>
      <c r="K1812" s="63"/>
      <c r="L1812" s="57"/>
      <c r="M1812" s="57"/>
      <c r="N1812" s="57"/>
      <c r="O1812" s="57"/>
      <c r="P1812" s="57"/>
      <c r="Q1812" s="57"/>
    </row>
    <row r="1813">
      <c r="A1813" s="60" t="s">
        <v>38</v>
      </c>
      <c r="B1813" s="60"/>
      <c r="C1813" s="57"/>
      <c r="D1813" s="57"/>
      <c r="E1813" s="57"/>
      <c r="F1813" s="57"/>
      <c r="G1813" s="57"/>
      <c r="H1813" s="65">
        <v>2700.0</v>
      </c>
      <c r="I1813" s="57">
        <f t="shared" ref="I1813:I1815" si="708">ROUNDDOWN(H1813*1.1,0)</f>
        <v>2970</v>
      </c>
      <c r="J1813" s="57">
        <f t="shared" ref="J1813:J1815" si="709">ROUNDDOWN(H1813*1.21,0)</f>
        <v>3267</v>
      </c>
      <c r="K1813" s="63">
        <f t="shared" ref="K1813:K1815" si="710">ROUNDDOWN(H1813*1.33,0)</f>
        <v>3591</v>
      </c>
      <c r="L1813" s="57">
        <f t="shared" ref="L1813:L1815" si="711">ROUNDDOWN(H1813*1.46,0)</f>
        <v>3942</v>
      </c>
      <c r="M1813" s="57">
        <f t="shared" ref="M1813:M1815" si="712">ROUNDDOWN(H1813*1.6,0)</f>
        <v>4320</v>
      </c>
      <c r="N1813" s="57">
        <f t="shared" ref="N1813:N1815" si="713">ROUNDDOWN(H1813*1.76,0)</f>
        <v>4752</v>
      </c>
      <c r="O1813" s="57">
        <f t="shared" ref="O1813:O1815" si="714">ROUNDDOWN(H1813*1.93,0)</f>
        <v>5211</v>
      </c>
      <c r="P1813" s="57">
        <f t="shared" ref="P1813:P1815" si="715">ROUNDDOWN(H1813*2.12,0)</f>
        <v>5724</v>
      </c>
      <c r="Q1813" s="57"/>
    </row>
    <row r="1814">
      <c r="A1814" s="60" t="s">
        <v>24</v>
      </c>
      <c r="B1814" s="60"/>
      <c r="C1814" s="57"/>
      <c r="D1814" s="57"/>
      <c r="E1814" s="57"/>
      <c r="F1814" s="57"/>
      <c r="G1814" s="57"/>
      <c r="H1814" s="65">
        <v>120.0</v>
      </c>
      <c r="I1814" s="57">
        <f t="shared" si="708"/>
        <v>132</v>
      </c>
      <c r="J1814" s="57">
        <f t="shared" si="709"/>
        <v>145</v>
      </c>
      <c r="K1814" s="63">
        <f t="shared" si="710"/>
        <v>159</v>
      </c>
      <c r="L1814" s="57">
        <f t="shared" si="711"/>
        <v>175</v>
      </c>
      <c r="M1814" s="57">
        <f t="shared" si="712"/>
        <v>192</v>
      </c>
      <c r="N1814" s="57">
        <f t="shared" si="713"/>
        <v>211</v>
      </c>
      <c r="O1814" s="57">
        <f t="shared" si="714"/>
        <v>231</v>
      </c>
      <c r="P1814" s="57">
        <f t="shared" si="715"/>
        <v>254</v>
      </c>
      <c r="Q1814" s="57"/>
    </row>
    <row r="1815">
      <c r="A1815" s="60" t="s">
        <v>34</v>
      </c>
      <c r="B1815" s="60"/>
      <c r="C1815" s="57"/>
      <c r="D1815" s="57"/>
      <c r="E1815" s="57"/>
      <c r="F1815" s="57"/>
      <c r="G1815" s="57"/>
      <c r="H1815" s="65">
        <v>120.0</v>
      </c>
      <c r="I1815" s="57">
        <f t="shared" si="708"/>
        <v>132</v>
      </c>
      <c r="J1815" s="57">
        <f t="shared" si="709"/>
        <v>145</v>
      </c>
      <c r="K1815" s="63">
        <f t="shared" si="710"/>
        <v>159</v>
      </c>
      <c r="L1815" s="57">
        <f t="shared" si="711"/>
        <v>175</v>
      </c>
      <c r="M1815" s="57">
        <f t="shared" si="712"/>
        <v>192</v>
      </c>
      <c r="N1815" s="57">
        <f t="shared" si="713"/>
        <v>211</v>
      </c>
      <c r="O1815" s="57">
        <f t="shared" si="714"/>
        <v>231</v>
      </c>
      <c r="P1815" s="57">
        <f t="shared" si="715"/>
        <v>254</v>
      </c>
      <c r="Q1815" s="57"/>
    </row>
    <row r="1816">
      <c r="A1816" s="60" t="s">
        <v>428</v>
      </c>
      <c r="B1816" s="60" t="s">
        <v>469</v>
      </c>
      <c r="C1816" s="57"/>
      <c r="D1816" s="57"/>
      <c r="E1816" s="57"/>
      <c r="F1816" s="57"/>
      <c r="G1816" s="57"/>
      <c r="H1816" s="57"/>
      <c r="I1816" s="57"/>
      <c r="J1816" s="57"/>
      <c r="K1816" s="63"/>
      <c r="L1816" s="57"/>
      <c r="M1816" s="57"/>
      <c r="N1816" s="57"/>
      <c r="O1816" s="57"/>
      <c r="P1816" s="57"/>
      <c r="Q1816" s="57"/>
    </row>
    <row r="1817">
      <c r="A1817" s="60" t="s">
        <v>55</v>
      </c>
      <c r="B1817" s="60" t="s">
        <v>430</v>
      </c>
      <c r="C1817" s="57"/>
      <c r="D1817" s="57"/>
      <c r="E1817" s="57"/>
      <c r="F1817" s="57"/>
      <c r="G1817" s="57"/>
      <c r="H1817" s="57"/>
      <c r="I1817" s="57"/>
      <c r="J1817" s="57"/>
      <c r="K1817" s="63"/>
      <c r="L1817" s="57"/>
      <c r="M1817" s="57"/>
      <c r="N1817" s="57"/>
      <c r="O1817" s="57"/>
      <c r="P1817" s="57"/>
      <c r="Q1817" s="57"/>
    </row>
    <row r="1818">
      <c r="A1818" s="60" t="s">
        <v>51</v>
      </c>
      <c r="B1818" s="60" t="s">
        <v>470</v>
      </c>
      <c r="C1818" s="57"/>
      <c r="D1818" s="57"/>
      <c r="E1818" s="57"/>
      <c r="F1818" s="57"/>
      <c r="G1818" s="57"/>
      <c r="H1818" s="57"/>
      <c r="I1818" s="57"/>
      <c r="J1818" s="57"/>
      <c r="K1818" s="63"/>
      <c r="L1818" s="57"/>
      <c r="M1818" s="57"/>
      <c r="N1818" s="57"/>
      <c r="O1818" s="57"/>
      <c r="P1818" s="57"/>
      <c r="Q1818" s="57"/>
    </row>
    <row r="1819">
      <c r="A1819" s="60" t="s">
        <v>49</v>
      </c>
      <c r="B1819" s="60" t="s">
        <v>944</v>
      </c>
      <c r="C1819" s="57"/>
      <c r="D1819" s="57"/>
      <c r="E1819" s="57"/>
      <c r="F1819" s="57"/>
      <c r="G1819" s="57"/>
      <c r="H1819" s="57"/>
      <c r="I1819" s="57"/>
      <c r="J1819" s="57"/>
      <c r="K1819" s="63"/>
      <c r="L1819" s="57"/>
      <c r="M1819" s="57"/>
      <c r="N1819" s="57"/>
      <c r="O1819" s="57"/>
      <c r="P1819" s="57"/>
      <c r="Q1819" s="57"/>
    </row>
    <row r="1820">
      <c r="A1820" s="60" t="s">
        <v>432</v>
      </c>
      <c r="B1820" s="60" t="s">
        <v>645</v>
      </c>
      <c r="C1820" s="57"/>
      <c r="D1820" s="57"/>
      <c r="E1820" s="57"/>
      <c r="F1820" s="57"/>
      <c r="G1820" s="57"/>
      <c r="H1820" s="57"/>
      <c r="I1820" s="57"/>
      <c r="J1820" s="57"/>
      <c r="K1820" s="63"/>
      <c r="L1820" s="57"/>
      <c r="M1820" s="57"/>
      <c r="N1820" s="57"/>
      <c r="O1820" s="57"/>
      <c r="P1820" s="57"/>
      <c r="Q1820" s="57"/>
    </row>
    <row r="1821">
      <c r="A1821" s="60" t="s">
        <v>53</v>
      </c>
      <c r="B1821" s="60" t="s">
        <v>458</v>
      </c>
      <c r="C1821" s="57"/>
      <c r="D1821" s="57"/>
      <c r="E1821" s="57"/>
      <c r="F1821" s="57"/>
      <c r="G1821" s="57"/>
      <c r="H1821" s="57"/>
      <c r="I1821" s="57"/>
      <c r="J1821" s="57"/>
      <c r="K1821" s="63"/>
      <c r="L1821" s="57"/>
      <c r="M1821" s="57"/>
      <c r="N1821" s="57"/>
      <c r="O1821" s="57"/>
      <c r="P1821" s="57"/>
      <c r="Q1821" s="57"/>
    </row>
    <row r="1822">
      <c r="A1822" s="60" t="s">
        <v>50</v>
      </c>
      <c r="B1822" s="60" t="s">
        <v>109</v>
      </c>
      <c r="C1822" s="57"/>
      <c r="D1822" s="57"/>
      <c r="E1822" s="57"/>
      <c r="F1822" s="57"/>
      <c r="G1822" s="57"/>
      <c r="H1822" s="57"/>
      <c r="I1822" s="57"/>
      <c r="J1822" s="57"/>
      <c r="K1822" s="63"/>
      <c r="L1822" s="57"/>
      <c r="M1822" s="57"/>
      <c r="N1822" s="57"/>
      <c r="O1822" s="57"/>
      <c r="P1822" s="57"/>
      <c r="Q1822" s="57"/>
    </row>
    <row r="1823">
      <c r="A1823" s="60" t="s">
        <v>438</v>
      </c>
      <c r="B1823" s="60" t="s">
        <v>472</v>
      </c>
      <c r="C1823" s="57"/>
      <c r="D1823" s="57"/>
      <c r="E1823" s="57"/>
      <c r="F1823" s="57"/>
      <c r="G1823" s="57"/>
      <c r="H1823" s="57"/>
      <c r="I1823" s="57"/>
      <c r="J1823" s="57"/>
      <c r="K1823" s="63"/>
      <c r="L1823" s="57"/>
      <c r="M1823" s="57"/>
      <c r="N1823" s="57"/>
      <c r="O1823" s="57"/>
      <c r="P1823" s="57"/>
      <c r="Q1823" s="57"/>
    </row>
    <row r="1824">
      <c r="A1824" s="60" t="s">
        <v>439</v>
      </c>
      <c r="B1824" s="60" t="s">
        <v>473</v>
      </c>
      <c r="C1824" s="57"/>
      <c r="D1824" s="57"/>
      <c r="E1824" s="57"/>
      <c r="F1824" s="57"/>
      <c r="G1824" s="57"/>
      <c r="H1824" s="57"/>
      <c r="I1824" s="57"/>
      <c r="J1824" s="57"/>
      <c r="K1824" s="63"/>
      <c r="L1824" s="57"/>
      <c r="M1824" s="57"/>
      <c r="N1824" s="57"/>
      <c r="O1824" s="57"/>
      <c r="P1824" s="57"/>
      <c r="Q1824" s="57"/>
    </row>
    <row r="1825">
      <c r="A1825" s="60" t="s">
        <v>441</v>
      </c>
      <c r="B1825" s="60">
        <v>18.0</v>
      </c>
      <c r="C1825" s="57"/>
      <c r="D1825" s="57"/>
      <c r="E1825" s="57"/>
      <c r="F1825" s="57"/>
      <c r="G1825" s="57"/>
      <c r="H1825" s="57"/>
      <c r="I1825" s="57"/>
      <c r="J1825" s="57"/>
      <c r="K1825" s="63"/>
      <c r="L1825" s="57"/>
      <c r="M1825" s="57"/>
      <c r="N1825" s="57"/>
      <c r="O1825" s="57"/>
      <c r="P1825" s="57"/>
      <c r="Q1825" s="57"/>
    </row>
    <row r="1826">
      <c r="A1826" s="60" t="s">
        <v>444</v>
      </c>
      <c r="B1826" s="60" t="s">
        <v>440</v>
      </c>
      <c r="C1826" s="57"/>
      <c r="D1826" s="57"/>
      <c r="E1826" s="57"/>
      <c r="F1826" s="57"/>
      <c r="G1826" s="57"/>
      <c r="H1826" s="57"/>
      <c r="I1826" s="57"/>
      <c r="J1826" s="57"/>
      <c r="K1826" s="63"/>
      <c r="L1826" s="57"/>
      <c r="M1826" s="57"/>
      <c r="N1826" s="57"/>
      <c r="O1826" s="57"/>
      <c r="P1826" s="57"/>
      <c r="Q1826" s="57"/>
    </row>
    <row r="1827">
      <c r="A1827" s="60" t="s">
        <v>446</v>
      </c>
      <c r="B1827" s="60" t="s">
        <v>500</v>
      </c>
      <c r="C1827" s="57"/>
      <c r="D1827" s="57"/>
      <c r="E1827" s="57"/>
      <c r="F1827" s="57"/>
      <c r="G1827" s="57"/>
      <c r="H1827" s="57"/>
      <c r="I1827" s="57"/>
      <c r="J1827" s="57"/>
      <c r="K1827" s="63"/>
      <c r="L1827" s="57"/>
      <c r="M1827" s="57"/>
      <c r="N1827" s="57"/>
      <c r="O1827" s="57"/>
      <c r="P1827" s="57"/>
      <c r="Q1827" s="57"/>
    </row>
    <row r="1828">
      <c r="A1828" s="60" t="s">
        <v>947</v>
      </c>
      <c r="B1828" s="60" t="s">
        <v>440</v>
      </c>
      <c r="C1828" s="57"/>
      <c r="D1828" s="57"/>
      <c r="E1828" s="57"/>
      <c r="F1828" s="57"/>
      <c r="G1828" s="57"/>
      <c r="H1828" s="57"/>
      <c r="I1828" s="57"/>
      <c r="J1828" s="57"/>
      <c r="K1828" s="63"/>
      <c r="L1828" s="57"/>
      <c r="M1828" s="57"/>
      <c r="N1828" s="57"/>
      <c r="O1828" s="57"/>
      <c r="P1828" s="57"/>
      <c r="Q1828" s="57"/>
    </row>
    <row r="1829">
      <c r="A1829" s="60" t="s">
        <v>948</v>
      </c>
      <c r="B1829" s="82">
        <v>-1.0</v>
      </c>
      <c r="C1829" s="57"/>
      <c r="D1829" s="57"/>
      <c r="E1829" s="57"/>
      <c r="F1829" s="57"/>
      <c r="G1829" s="57"/>
      <c r="H1829" s="57"/>
      <c r="I1829" s="57"/>
      <c r="J1829" s="57"/>
      <c r="K1829" s="63"/>
      <c r="L1829" s="57"/>
      <c r="M1829" s="57"/>
      <c r="N1829" s="57"/>
      <c r="O1829" s="57"/>
      <c r="P1829" s="57"/>
      <c r="Q1829" s="57"/>
    </row>
    <row r="1830">
      <c r="A1830" s="60" t="s">
        <v>949</v>
      </c>
      <c r="B1830" s="60" t="s">
        <v>478</v>
      </c>
      <c r="C1830" s="57"/>
      <c r="D1830" s="57"/>
      <c r="E1830" s="57"/>
      <c r="F1830" s="57"/>
      <c r="G1830" s="57"/>
      <c r="H1830" s="57"/>
      <c r="I1830" s="57"/>
      <c r="J1830" s="57"/>
      <c r="K1830" s="63"/>
      <c r="L1830" s="57"/>
      <c r="M1830" s="57"/>
      <c r="N1830" s="57"/>
      <c r="O1830" s="57"/>
      <c r="P1830" s="57"/>
      <c r="Q1830" s="57"/>
    </row>
    <row r="1831">
      <c r="A1831" s="76" t="s">
        <v>288</v>
      </c>
      <c r="B1831" s="60" t="s">
        <v>468</v>
      </c>
      <c r="C1831" s="57"/>
      <c r="D1831" s="57"/>
      <c r="E1831" s="57"/>
      <c r="F1831" s="57"/>
      <c r="G1831" s="65"/>
      <c r="H1831" s="65"/>
      <c r="I1831" s="65"/>
      <c r="J1831" s="65"/>
      <c r="K1831" s="66"/>
      <c r="L1831" s="65"/>
      <c r="M1831" s="65"/>
      <c r="N1831" s="65"/>
      <c r="O1831" s="65"/>
      <c r="P1831" s="65"/>
      <c r="Q1831" s="57"/>
    </row>
    <row r="1832">
      <c r="A1832" s="60" t="s">
        <v>38</v>
      </c>
      <c r="B1832" s="26"/>
      <c r="C1832" s="57"/>
      <c r="D1832" s="57"/>
      <c r="E1832" s="57"/>
      <c r="F1832" s="57"/>
      <c r="G1832" s="65"/>
      <c r="H1832" s="65">
        <v>594.0</v>
      </c>
      <c r="I1832" s="57">
        <f t="shared" ref="I1832:I1833" si="716">ROUNDDOWN(H1832*1.1,0)</f>
        <v>653</v>
      </c>
      <c r="J1832" s="57">
        <f t="shared" ref="J1832:J1833" si="717">ROUNDDOWN(H1832*1.21,0)</f>
        <v>718</v>
      </c>
      <c r="K1832" s="63">
        <f t="shared" ref="K1832:K1833" si="718">ROUNDDOWN(H1832*1.33,0)</f>
        <v>790</v>
      </c>
      <c r="L1832" s="57">
        <f t="shared" ref="L1832:L1833" si="719">ROUNDDOWN(H1832*1.46,0)</f>
        <v>867</v>
      </c>
      <c r="M1832" s="57">
        <f t="shared" ref="M1832:M1833" si="720">ROUNDDOWN(H1832*1.6,0)</f>
        <v>950</v>
      </c>
      <c r="N1832" s="57">
        <f t="shared" ref="N1832:N1833" si="721">ROUNDDOWN(H1832*1.76,0)</f>
        <v>1045</v>
      </c>
      <c r="O1832" s="57">
        <f t="shared" ref="O1832:O1833" si="722">ROUNDDOWN(H1832*1.93,0)</f>
        <v>1146</v>
      </c>
      <c r="P1832" s="57">
        <f t="shared" ref="P1832:P1833" si="723">ROUNDDOWN(H1832*2.12,0)</f>
        <v>1259</v>
      </c>
      <c r="Q1832" s="57"/>
    </row>
    <row r="1833">
      <c r="A1833" s="60" t="s">
        <v>24</v>
      </c>
      <c r="B1833" s="26"/>
      <c r="C1833" s="57"/>
      <c r="D1833" s="57"/>
      <c r="E1833" s="57"/>
      <c r="F1833" s="57"/>
      <c r="G1833" s="65"/>
      <c r="H1833" s="65">
        <v>120.0</v>
      </c>
      <c r="I1833" s="57">
        <f t="shared" si="716"/>
        <v>132</v>
      </c>
      <c r="J1833" s="57">
        <f t="shared" si="717"/>
        <v>145</v>
      </c>
      <c r="K1833" s="63">
        <f t="shared" si="718"/>
        <v>159</v>
      </c>
      <c r="L1833" s="57">
        <f t="shared" si="719"/>
        <v>175</v>
      </c>
      <c r="M1833" s="57">
        <f t="shared" si="720"/>
        <v>192</v>
      </c>
      <c r="N1833" s="57">
        <f t="shared" si="721"/>
        <v>211</v>
      </c>
      <c r="O1833" s="57">
        <f t="shared" si="722"/>
        <v>231</v>
      </c>
      <c r="P1833" s="57">
        <f t="shared" si="723"/>
        <v>254</v>
      </c>
      <c r="Q1833" s="57"/>
    </row>
    <row r="1834">
      <c r="A1834" s="60" t="s">
        <v>428</v>
      </c>
      <c r="B1834" s="60" t="s">
        <v>429</v>
      </c>
      <c r="C1834" s="57"/>
      <c r="D1834" s="57"/>
      <c r="E1834" s="57"/>
      <c r="F1834" s="57"/>
      <c r="G1834" s="65"/>
      <c r="H1834" s="65"/>
      <c r="I1834" s="65"/>
      <c r="J1834" s="65"/>
      <c r="K1834" s="66"/>
      <c r="L1834" s="65"/>
      <c r="M1834" s="65"/>
      <c r="N1834" s="65"/>
      <c r="O1834" s="65"/>
      <c r="P1834" s="65"/>
      <c r="Q1834" s="57"/>
    </row>
    <row r="1835">
      <c r="A1835" s="60" t="s">
        <v>55</v>
      </c>
      <c r="B1835" s="60" t="s">
        <v>430</v>
      </c>
      <c r="C1835" s="57"/>
      <c r="D1835" s="57"/>
      <c r="E1835" s="57"/>
      <c r="F1835" s="57"/>
      <c r="G1835" s="65"/>
      <c r="H1835" s="65"/>
      <c r="I1835" s="65"/>
      <c r="J1835" s="65"/>
      <c r="K1835" s="66"/>
      <c r="L1835" s="65"/>
      <c r="M1835" s="65"/>
      <c r="N1835" s="65"/>
      <c r="O1835" s="65"/>
      <c r="P1835" s="65"/>
      <c r="Q1835" s="57"/>
    </row>
    <row r="1836">
      <c r="A1836" s="60" t="s">
        <v>51</v>
      </c>
      <c r="B1836" s="60" t="s">
        <v>451</v>
      </c>
      <c r="C1836" s="57"/>
      <c r="D1836" s="57"/>
      <c r="E1836" s="57"/>
      <c r="F1836" s="57"/>
      <c r="G1836" s="65"/>
      <c r="H1836" s="65"/>
      <c r="I1836" s="65"/>
      <c r="J1836" s="65"/>
      <c r="K1836" s="66"/>
      <c r="L1836" s="65"/>
      <c r="M1836" s="65"/>
      <c r="N1836" s="65"/>
      <c r="O1836" s="65"/>
      <c r="P1836" s="65"/>
      <c r="Q1836" s="57"/>
    </row>
    <row r="1837">
      <c r="A1837" s="60" t="s">
        <v>49</v>
      </c>
      <c r="B1837" s="60" t="s">
        <v>944</v>
      </c>
      <c r="C1837" s="57"/>
      <c r="D1837" s="57"/>
      <c r="E1837" s="57"/>
      <c r="F1837" s="57"/>
      <c r="G1837" s="65"/>
      <c r="H1837" s="65"/>
      <c r="I1837" s="65"/>
      <c r="J1837" s="65"/>
      <c r="K1837" s="66"/>
      <c r="L1837" s="65"/>
      <c r="M1837" s="65"/>
      <c r="N1837" s="65"/>
      <c r="O1837" s="65"/>
      <c r="P1837" s="65"/>
      <c r="Q1837" s="57"/>
    </row>
    <row r="1838">
      <c r="A1838" s="60" t="s">
        <v>432</v>
      </c>
      <c r="B1838" s="60" t="s">
        <v>492</v>
      </c>
      <c r="C1838" s="57"/>
      <c r="D1838" s="57"/>
      <c r="E1838" s="57"/>
      <c r="F1838" s="57"/>
      <c r="G1838" s="65"/>
      <c r="H1838" s="65"/>
      <c r="I1838" s="65"/>
      <c r="J1838" s="65"/>
      <c r="K1838" s="66"/>
      <c r="L1838" s="65"/>
      <c r="M1838" s="65"/>
      <c r="N1838" s="65"/>
      <c r="O1838" s="65"/>
      <c r="P1838" s="65"/>
      <c r="Q1838" s="57"/>
    </row>
    <row r="1839">
      <c r="A1839" s="60" t="s">
        <v>422</v>
      </c>
      <c r="B1839" s="60" t="s">
        <v>910</v>
      </c>
      <c r="C1839" s="57"/>
      <c r="D1839" s="57"/>
      <c r="E1839" s="57"/>
      <c r="F1839" s="57"/>
      <c r="G1839" s="65"/>
      <c r="H1839" s="65"/>
      <c r="I1839" s="65"/>
      <c r="J1839" s="65"/>
      <c r="K1839" s="66"/>
      <c r="L1839" s="65"/>
      <c r="M1839" s="65"/>
      <c r="N1839" s="65"/>
      <c r="O1839" s="65"/>
      <c r="P1839" s="65"/>
      <c r="Q1839" s="57"/>
    </row>
    <row r="1840">
      <c r="A1840" s="60" t="s">
        <v>435</v>
      </c>
      <c r="B1840" s="60" t="s">
        <v>436</v>
      </c>
      <c r="C1840" s="57"/>
      <c r="D1840" s="57"/>
      <c r="E1840" s="57"/>
      <c r="F1840" s="57"/>
      <c r="G1840" s="65"/>
      <c r="H1840" s="65"/>
      <c r="I1840" s="65"/>
      <c r="J1840" s="65"/>
      <c r="K1840" s="66"/>
      <c r="L1840" s="65"/>
      <c r="M1840" s="65"/>
      <c r="N1840" s="65"/>
      <c r="O1840" s="65"/>
      <c r="P1840" s="65"/>
      <c r="Q1840" s="57"/>
    </row>
    <row r="1841">
      <c r="A1841" s="60" t="s">
        <v>426</v>
      </c>
      <c r="B1841" s="60" t="s">
        <v>485</v>
      </c>
      <c r="C1841" s="57"/>
      <c r="D1841" s="57"/>
      <c r="E1841" s="57"/>
      <c r="F1841" s="57"/>
      <c r="G1841" s="65"/>
      <c r="H1841" s="65"/>
      <c r="I1841" s="65"/>
      <c r="J1841" s="65"/>
      <c r="K1841" s="66"/>
      <c r="L1841" s="65"/>
      <c r="M1841" s="65"/>
      <c r="N1841" s="65"/>
      <c r="O1841" s="65"/>
      <c r="P1841" s="65"/>
      <c r="Q1841" s="57"/>
    </row>
    <row r="1842">
      <c r="A1842" s="60" t="s">
        <v>63</v>
      </c>
      <c r="B1842" s="60" t="s">
        <v>433</v>
      </c>
      <c r="C1842" s="57"/>
      <c r="D1842" s="57"/>
      <c r="E1842" s="57"/>
      <c r="F1842" s="57"/>
      <c r="G1842" s="65"/>
      <c r="H1842" s="65"/>
      <c r="I1842" s="65"/>
      <c r="J1842" s="65"/>
      <c r="K1842" s="66"/>
      <c r="L1842" s="65"/>
      <c r="M1842" s="65"/>
      <c r="N1842" s="65"/>
      <c r="O1842" s="65"/>
      <c r="P1842" s="65"/>
      <c r="Q1842" s="57"/>
    </row>
    <row r="1843">
      <c r="A1843" s="60" t="s">
        <v>597</v>
      </c>
      <c r="B1843" s="82">
        <v>-1.0</v>
      </c>
      <c r="C1843" s="57"/>
      <c r="D1843" s="57"/>
      <c r="E1843" s="57"/>
      <c r="F1843" s="57"/>
      <c r="G1843" s="65"/>
      <c r="H1843" s="65"/>
      <c r="I1843" s="65"/>
      <c r="J1843" s="65"/>
      <c r="K1843" s="66"/>
      <c r="L1843" s="65"/>
      <c r="M1843" s="65"/>
      <c r="N1843" s="65"/>
      <c r="O1843" s="65"/>
      <c r="P1843" s="65"/>
      <c r="Q1843" s="57"/>
    </row>
    <row r="1844">
      <c r="A1844" s="60" t="s">
        <v>911</v>
      </c>
      <c r="B1844" s="60" t="s">
        <v>424</v>
      </c>
      <c r="C1844" s="57"/>
      <c r="D1844" s="57"/>
      <c r="E1844" s="57"/>
      <c r="F1844" s="57"/>
      <c r="G1844" s="65"/>
      <c r="H1844" s="65"/>
      <c r="I1844" s="65"/>
      <c r="J1844" s="65"/>
      <c r="K1844" s="66"/>
      <c r="L1844" s="65"/>
      <c r="M1844" s="65"/>
      <c r="N1844" s="65"/>
      <c r="O1844" s="65"/>
      <c r="P1844" s="65"/>
      <c r="Q1844" s="57"/>
    </row>
    <row r="1845">
      <c r="A1845" s="60" t="s">
        <v>912</v>
      </c>
      <c r="B1845" s="60">
        <v>3.0</v>
      </c>
      <c r="C1845" s="57"/>
      <c r="D1845" s="57"/>
      <c r="E1845" s="57"/>
      <c r="F1845" s="57"/>
      <c r="G1845" s="65"/>
      <c r="H1845" s="65"/>
      <c r="I1845" s="65"/>
      <c r="J1845" s="65"/>
      <c r="K1845" s="66"/>
      <c r="L1845" s="65"/>
      <c r="M1845" s="65"/>
      <c r="N1845" s="65"/>
      <c r="O1845" s="65"/>
      <c r="P1845" s="65"/>
      <c r="Q1845" s="57"/>
    </row>
    <row r="1846">
      <c r="A1846" s="60" t="s">
        <v>53</v>
      </c>
      <c r="B1846" s="60" t="s">
        <v>499</v>
      </c>
      <c r="C1846" s="57"/>
      <c r="D1846" s="57"/>
      <c r="E1846" s="57"/>
      <c r="F1846" s="57"/>
      <c r="G1846" s="65"/>
      <c r="H1846" s="65"/>
      <c r="I1846" s="65"/>
      <c r="J1846" s="65"/>
      <c r="K1846" s="66"/>
      <c r="L1846" s="65"/>
      <c r="M1846" s="65"/>
      <c r="N1846" s="65"/>
      <c r="O1846" s="65"/>
      <c r="P1846" s="65"/>
      <c r="Q1846" s="57"/>
    </row>
    <row r="1847">
      <c r="A1847" s="60" t="s">
        <v>50</v>
      </c>
      <c r="B1847" s="60" t="s">
        <v>425</v>
      </c>
      <c r="C1847" s="57"/>
      <c r="D1847" s="57"/>
      <c r="E1847" s="57"/>
      <c r="F1847" s="57"/>
      <c r="G1847" s="65"/>
      <c r="H1847" s="65"/>
      <c r="I1847" s="65"/>
      <c r="J1847" s="65"/>
      <c r="K1847" s="66"/>
      <c r="L1847" s="65"/>
      <c r="M1847" s="65"/>
      <c r="N1847" s="65"/>
      <c r="O1847" s="65"/>
      <c r="P1847" s="65"/>
      <c r="Q1847" s="57"/>
    </row>
    <row r="1848">
      <c r="A1848" s="60" t="s">
        <v>438</v>
      </c>
      <c r="B1848" s="60" t="s">
        <v>436</v>
      </c>
      <c r="C1848" s="57"/>
      <c r="D1848" s="57"/>
      <c r="E1848" s="57"/>
      <c r="F1848" s="57"/>
      <c r="G1848" s="65"/>
      <c r="H1848" s="65"/>
      <c r="I1848" s="65"/>
      <c r="J1848" s="65"/>
      <c r="K1848" s="66"/>
      <c r="L1848" s="65"/>
      <c r="M1848" s="65"/>
      <c r="N1848" s="65"/>
      <c r="O1848" s="65"/>
      <c r="P1848" s="65"/>
      <c r="Q1848" s="57"/>
    </row>
    <row r="1849">
      <c r="A1849" s="60" t="s">
        <v>439</v>
      </c>
      <c r="B1849" s="60" t="s">
        <v>502</v>
      </c>
      <c r="C1849" s="57"/>
      <c r="D1849" s="57"/>
      <c r="E1849" s="57"/>
      <c r="F1849" s="57"/>
      <c r="G1849" s="65"/>
      <c r="H1849" s="65"/>
      <c r="I1849" s="65"/>
      <c r="J1849" s="65"/>
      <c r="K1849" s="66"/>
      <c r="L1849" s="65"/>
      <c r="M1849" s="65"/>
      <c r="N1849" s="65"/>
      <c r="O1849" s="65"/>
      <c r="P1849" s="65"/>
      <c r="Q1849" s="57"/>
    </row>
    <row r="1850">
      <c r="A1850" s="60" t="s">
        <v>441</v>
      </c>
      <c r="B1850" s="60">
        <v>7.0</v>
      </c>
      <c r="C1850" s="57"/>
      <c r="D1850" s="57"/>
      <c r="E1850" s="57"/>
      <c r="F1850" s="57"/>
      <c r="G1850" s="65"/>
      <c r="H1850" s="65"/>
      <c r="I1850" s="65"/>
      <c r="J1850" s="65"/>
      <c r="K1850" s="66"/>
      <c r="L1850" s="65"/>
      <c r="M1850" s="65"/>
      <c r="N1850" s="65"/>
      <c r="O1850" s="65"/>
      <c r="P1850" s="65"/>
      <c r="Q1850" s="57"/>
    </row>
    <row r="1851">
      <c r="A1851" s="60" t="s">
        <v>442</v>
      </c>
      <c r="B1851" s="60" t="s">
        <v>499</v>
      </c>
      <c r="C1851" s="57"/>
      <c r="D1851" s="57"/>
      <c r="E1851" s="57"/>
      <c r="F1851" s="57"/>
      <c r="G1851" s="65"/>
      <c r="H1851" s="65"/>
      <c r="I1851" s="65"/>
      <c r="J1851" s="65"/>
      <c r="K1851" s="66"/>
      <c r="L1851" s="65"/>
      <c r="M1851" s="65"/>
      <c r="N1851" s="65"/>
      <c r="O1851" s="65"/>
      <c r="P1851" s="65"/>
      <c r="Q1851" s="57"/>
    </row>
    <row r="1852">
      <c r="A1852" s="60" t="s">
        <v>444</v>
      </c>
      <c r="B1852" s="60" t="s">
        <v>950</v>
      </c>
      <c r="C1852" s="57"/>
      <c r="D1852" s="57"/>
      <c r="E1852" s="57"/>
      <c r="F1852" s="57"/>
      <c r="G1852" s="65"/>
      <c r="H1852" s="65"/>
      <c r="I1852" s="65"/>
      <c r="J1852" s="65"/>
      <c r="K1852" s="66"/>
      <c r="L1852" s="65"/>
      <c r="M1852" s="65"/>
      <c r="N1852" s="65"/>
      <c r="O1852" s="65"/>
      <c r="P1852" s="65"/>
      <c r="Q1852" s="57"/>
    </row>
    <row r="1853">
      <c r="A1853" s="60" t="s">
        <v>446</v>
      </c>
      <c r="B1853" s="60" t="s">
        <v>500</v>
      </c>
      <c r="C1853" s="57"/>
      <c r="D1853" s="57"/>
      <c r="E1853" s="57"/>
      <c r="F1853" s="57"/>
      <c r="G1853" s="65"/>
      <c r="H1853" s="65"/>
      <c r="I1853" s="65"/>
      <c r="J1853" s="65"/>
      <c r="K1853" s="66"/>
      <c r="L1853" s="65"/>
      <c r="M1853" s="65"/>
      <c r="N1853" s="65"/>
      <c r="O1853" s="65"/>
      <c r="P1853" s="65"/>
      <c r="Q1853" s="57"/>
    </row>
    <row r="1854">
      <c r="A1854" s="83" t="s">
        <v>289</v>
      </c>
      <c r="B1854" s="60" t="s">
        <v>459</v>
      </c>
      <c r="C1854" s="57"/>
      <c r="D1854" s="57"/>
      <c r="E1854" s="57"/>
      <c r="F1854" s="57"/>
      <c r="G1854" s="57"/>
      <c r="H1854" s="57"/>
      <c r="I1854" s="57"/>
      <c r="J1854" s="57"/>
      <c r="K1854" s="63"/>
      <c r="L1854" s="57"/>
      <c r="M1854" s="57"/>
      <c r="N1854" s="57"/>
      <c r="O1854" s="57"/>
      <c r="P1854" s="57"/>
      <c r="Q1854" s="57"/>
    </row>
    <row r="1855">
      <c r="A1855" s="60" t="s">
        <v>38</v>
      </c>
      <c r="B1855" s="26"/>
      <c r="C1855" s="57"/>
      <c r="D1855" s="57"/>
      <c r="E1855" s="57"/>
      <c r="F1855" s="57"/>
      <c r="G1855" s="57"/>
      <c r="H1855" s="57"/>
      <c r="I1855" s="57"/>
      <c r="J1855" s="57"/>
      <c r="K1855" s="66">
        <v>590.0</v>
      </c>
      <c r="L1855" s="57">
        <f t="shared" ref="L1855:L1856" si="724">ROUNDDOWN(K1855*1.1,0)</f>
        <v>649</v>
      </c>
      <c r="M1855" s="57">
        <f t="shared" ref="M1855:M1856" si="725">ROUNDDOWN(K1855*1.21,0)</f>
        <v>713</v>
      </c>
      <c r="N1855" s="57">
        <f t="shared" ref="N1855:N1856" si="726">ROUNDDOWN(K1855*1.33,0)</f>
        <v>784</v>
      </c>
      <c r="O1855" s="57">
        <f t="shared" ref="O1855:O1856" si="727">ROUNDDOWN(K1855*1.46,0)</f>
        <v>861</v>
      </c>
      <c r="P1855" s="57">
        <f t="shared" ref="P1855:P1856" si="728">ROUNDDOWN(K1855*1.57,0)</f>
        <v>926</v>
      </c>
      <c r="Q1855" s="57"/>
    </row>
    <row r="1856">
      <c r="A1856" s="60" t="s">
        <v>24</v>
      </c>
      <c r="B1856" s="26"/>
      <c r="C1856" s="57"/>
      <c r="D1856" s="57"/>
      <c r="E1856" s="57"/>
      <c r="F1856" s="57"/>
      <c r="G1856" s="57"/>
      <c r="H1856" s="57"/>
      <c r="I1856" s="57"/>
      <c r="J1856" s="57"/>
      <c r="K1856" s="66">
        <v>91.0</v>
      </c>
      <c r="L1856" s="57">
        <f t="shared" si="724"/>
        <v>100</v>
      </c>
      <c r="M1856" s="57">
        <f t="shared" si="725"/>
        <v>110</v>
      </c>
      <c r="N1856" s="57">
        <f t="shared" si="726"/>
        <v>121</v>
      </c>
      <c r="O1856" s="57">
        <f t="shared" si="727"/>
        <v>132</v>
      </c>
      <c r="P1856" s="57">
        <f t="shared" si="728"/>
        <v>142</v>
      </c>
      <c r="Q1856" s="57"/>
    </row>
    <row r="1857">
      <c r="A1857" s="60" t="s">
        <v>951</v>
      </c>
      <c r="B1857" s="26"/>
      <c r="C1857" s="57"/>
      <c r="D1857" s="57"/>
      <c r="E1857" s="57"/>
      <c r="F1857" s="57"/>
      <c r="G1857" s="57"/>
      <c r="H1857" s="57"/>
      <c r="I1857" s="57"/>
      <c r="J1857" s="57"/>
      <c r="K1857" s="66">
        <f t="shared" ref="K1857:P1857" si="729">K$3</f>
        <v>9</v>
      </c>
      <c r="L1857" s="65">
        <f t="shared" si="729"/>
        <v>10</v>
      </c>
      <c r="M1857" s="65">
        <f t="shared" si="729"/>
        <v>11</v>
      </c>
      <c r="N1857" s="65">
        <f t="shared" si="729"/>
        <v>12</v>
      </c>
      <c r="O1857" s="65">
        <f t="shared" si="729"/>
        <v>13</v>
      </c>
      <c r="P1857" s="65">
        <f t="shared" si="729"/>
        <v>14</v>
      </c>
      <c r="Q1857" s="57"/>
    </row>
    <row r="1858">
      <c r="A1858" s="60" t="s">
        <v>428</v>
      </c>
      <c r="B1858" s="60" t="s">
        <v>429</v>
      </c>
      <c r="C1858" s="57"/>
      <c r="D1858" s="57"/>
      <c r="E1858" s="57"/>
      <c r="F1858" s="57"/>
      <c r="G1858" s="57"/>
      <c r="H1858" s="57"/>
      <c r="I1858" s="57"/>
      <c r="J1858" s="57"/>
      <c r="K1858" s="63"/>
      <c r="L1858" s="57"/>
      <c r="M1858" s="57"/>
      <c r="N1858" s="57"/>
      <c r="O1858" s="57"/>
      <c r="P1858" s="57"/>
      <c r="Q1858" s="57"/>
    </row>
    <row r="1859">
      <c r="A1859" s="60" t="s">
        <v>55</v>
      </c>
      <c r="B1859" s="60" t="s">
        <v>430</v>
      </c>
      <c r="C1859" s="57"/>
      <c r="D1859" s="57"/>
      <c r="E1859" s="57"/>
      <c r="F1859" s="57"/>
      <c r="G1859" s="57"/>
      <c r="H1859" s="57"/>
      <c r="I1859" s="57"/>
      <c r="J1859" s="57"/>
      <c r="K1859" s="63"/>
      <c r="L1859" s="57"/>
      <c r="M1859" s="57"/>
      <c r="N1859" s="57"/>
      <c r="O1859" s="57"/>
      <c r="P1859" s="57"/>
      <c r="Q1859" s="57"/>
    </row>
    <row r="1860">
      <c r="A1860" s="60" t="s">
        <v>51</v>
      </c>
      <c r="B1860" s="60" t="s">
        <v>431</v>
      </c>
      <c r="C1860" s="57"/>
      <c r="D1860" s="57"/>
      <c r="E1860" s="57"/>
      <c r="F1860" s="57"/>
      <c r="G1860" s="57"/>
      <c r="H1860" s="57"/>
      <c r="I1860" s="57"/>
      <c r="J1860" s="57"/>
      <c r="K1860" s="63"/>
      <c r="L1860" s="57"/>
      <c r="M1860" s="57"/>
      <c r="N1860" s="57"/>
      <c r="O1860" s="57"/>
      <c r="P1860" s="57"/>
      <c r="Q1860" s="57"/>
    </row>
    <row r="1861">
      <c r="A1861" s="60" t="s">
        <v>49</v>
      </c>
      <c r="B1861" s="60" t="s">
        <v>533</v>
      </c>
      <c r="C1861" s="57"/>
      <c r="D1861" s="57"/>
      <c r="E1861" s="57"/>
      <c r="F1861" s="57"/>
      <c r="G1861" s="57"/>
      <c r="H1861" s="57"/>
      <c r="I1861" s="57"/>
      <c r="J1861" s="57"/>
      <c r="K1861" s="63"/>
      <c r="L1861" s="57"/>
      <c r="M1861" s="57"/>
      <c r="N1861" s="57"/>
      <c r="O1861" s="57"/>
      <c r="P1861" s="57"/>
      <c r="Q1861" s="57"/>
    </row>
    <row r="1862">
      <c r="A1862" s="60" t="s">
        <v>432</v>
      </c>
      <c r="B1862" s="60" t="s">
        <v>452</v>
      </c>
      <c r="C1862" s="57"/>
      <c r="D1862" s="57"/>
      <c r="E1862" s="57"/>
      <c r="F1862" s="57"/>
      <c r="G1862" s="57"/>
      <c r="H1862" s="57"/>
      <c r="I1862" s="57"/>
      <c r="J1862" s="57"/>
      <c r="K1862" s="63"/>
      <c r="L1862" s="57"/>
      <c r="M1862" s="57"/>
      <c r="N1862" s="57"/>
      <c r="O1862" s="57"/>
      <c r="P1862" s="57"/>
      <c r="Q1862" s="57"/>
    </row>
    <row r="1863">
      <c r="A1863" s="60" t="s">
        <v>952</v>
      </c>
      <c r="B1863" s="60">
        <v>2.0</v>
      </c>
      <c r="C1863" s="57"/>
      <c r="D1863" s="57"/>
      <c r="E1863" s="57"/>
      <c r="F1863" s="57"/>
      <c r="G1863" s="57"/>
      <c r="H1863" s="57"/>
      <c r="I1863" s="57"/>
      <c r="J1863" s="57"/>
      <c r="K1863" s="63"/>
      <c r="L1863" s="57"/>
      <c r="M1863" s="57"/>
      <c r="N1863" s="57"/>
      <c r="O1863" s="57"/>
      <c r="P1863" s="57"/>
      <c r="Q1863" s="57"/>
    </row>
    <row r="1864">
      <c r="A1864" s="60" t="s">
        <v>53</v>
      </c>
      <c r="B1864" s="60" t="s">
        <v>456</v>
      </c>
      <c r="C1864" s="57"/>
      <c r="D1864" s="57"/>
      <c r="E1864" s="57"/>
      <c r="F1864" s="57"/>
      <c r="G1864" s="57"/>
      <c r="H1864" s="57"/>
      <c r="I1864" s="57"/>
      <c r="J1864" s="57"/>
      <c r="K1864" s="63"/>
      <c r="L1864" s="57"/>
      <c r="M1864" s="57"/>
      <c r="N1864" s="57"/>
      <c r="O1864" s="57"/>
      <c r="P1864" s="57"/>
      <c r="Q1864" s="57"/>
    </row>
    <row r="1865">
      <c r="A1865" s="60" t="s">
        <v>50</v>
      </c>
      <c r="B1865" s="60" t="s">
        <v>425</v>
      </c>
      <c r="C1865" s="57"/>
      <c r="D1865" s="57"/>
      <c r="E1865" s="57"/>
      <c r="F1865" s="57"/>
      <c r="G1865" s="57"/>
      <c r="H1865" s="57"/>
      <c r="I1865" s="57"/>
      <c r="J1865" s="57"/>
      <c r="K1865" s="63"/>
      <c r="L1865" s="57"/>
      <c r="M1865" s="57"/>
      <c r="N1865" s="57"/>
      <c r="O1865" s="57"/>
      <c r="P1865" s="57"/>
      <c r="Q1865" s="57"/>
    </row>
    <row r="1866">
      <c r="A1866" s="60" t="s">
        <v>63</v>
      </c>
      <c r="B1866" s="60" t="s">
        <v>433</v>
      </c>
      <c r="C1866" s="57"/>
      <c r="D1866" s="57"/>
      <c r="E1866" s="57"/>
      <c r="F1866" s="57"/>
      <c r="G1866" s="57"/>
      <c r="H1866" s="57"/>
      <c r="I1866" s="57"/>
      <c r="J1866" s="57"/>
      <c r="K1866" s="63"/>
      <c r="L1866" s="57"/>
      <c r="M1866" s="57"/>
      <c r="N1866" s="57"/>
      <c r="O1866" s="57"/>
      <c r="P1866" s="57"/>
      <c r="Q1866" s="57"/>
    </row>
    <row r="1867">
      <c r="A1867" s="60" t="s">
        <v>597</v>
      </c>
      <c r="B1867" s="82">
        <v>-1.0</v>
      </c>
      <c r="C1867" s="57"/>
      <c r="D1867" s="57"/>
      <c r="E1867" s="57"/>
      <c r="F1867" s="57"/>
      <c r="G1867" s="57"/>
      <c r="H1867" s="57"/>
      <c r="I1867" s="57"/>
      <c r="J1867" s="57"/>
      <c r="K1867" s="63"/>
      <c r="L1867" s="57"/>
      <c r="M1867" s="57"/>
      <c r="N1867" s="57"/>
      <c r="O1867" s="57"/>
      <c r="P1867" s="57"/>
      <c r="Q1867" s="57"/>
    </row>
    <row r="1868">
      <c r="A1868" s="60" t="s">
        <v>438</v>
      </c>
      <c r="B1868" s="60" t="s">
        <v>436</v>
      </c>
      <c r="C1868" s="57"/>
      <c r="D1868" s="57"/>
      <c r="E1868" s="57"/>
      <c r="F1868" s="57"/>
      <c r="G1868" s="57"/>
      <c r="H1868" s="57"/>
      <c r="I1868" s="57"/>
      <c r="J1868" s="57"/>
      <c r="K1868" s="63"/>
      <c r="L1868" s="57"/>
      <c r="M1868" s="57"/>
      <c r="N1868" s="57"/>
      <c r="O1868" s="57"/>
      <c r="P1868" s="57"/>
      <c r="Q1868" s="57"/>
    </row>
    <row r="1869">
      <c r="A1869" s="60" t="s">
        <v>439</v>
      </c>
      <c r="B1869" s="60" t="s">
        <v>440</v>
      </c>
      <c r="C1869" s="57"/>
      <c r="D1869" s="57"/>
      <c r="E1869" s="57"/>
      <c r="F1869" s="57"/>
      <c r="G1869" s="57"/>
      <c r="H1869" s="57"/>
      <c r="I1869" s="57"/>
      <c r="J1869" s="57"/>
      <c r="K1869" s="63"/>
      <c r="L1869" s="57"/>
      <c r="M1869" s="57"/>
      <c r="N1869" s="57"/>
      <c r="O1869" s="57"/>
      <c r="P1869" s="57"/>
      <c r="Q1869" s="57"/>
    </row>
    <row r="1870">
      <c r="A1870" s="60" t="s">
        <v>441</v>
      </c>
      <c r="B1870" s="60">
        <v>5.0</v>
      </c>
      <c r="C1870" s="57"/>
      <c r="D1870" s="57"/>
      <c r="E1870" s="57"/>
      <c r="F1870" s="57"/>
      <c r="G1870" s="57"/>
      <c r="H1870" s="57"/>
      <c r="I1870" s="57"/>
      <c r="J1870" s="57"/>
      <c r="K1870" s="63"/>
      <c r="L1870" s="57"/>
      <c r="M1870" s="57"/>
      <c r="N1870" s="57"/>
      <c r="O1870" s="57"/>
      <c r="P1870" s="57"/>
      <c r="Q1870" s="57"/>
    </row>
    <row r="1871">
      <c r="A1871" s="60" t="s">
        <v>953</v>
      </c>
      <c r="B1871" s="60" t="s">
        <v>184</v>
      </c>
      <c r="C1871" s="57"/>
      <c r="D1871" s="57"/>
      <c r="E1871" s="57"/>
      <c r="F1871" s="57"/>
      <c r="G1871" s="57"/>
      <c r="H1871" s="57"/>
      <c r="I1871" s="57"/>
      <c r="J1871" s="57"/>
      <c r="K1871" s="63"/>
      <c r="L1871" s="57"/>
      <c r="M1871" s="57"/>
      <c r="N1871" s="57"/>
      <c r="O1871" s="57"/>
      <c r="P1871" s="57"/>
      <c r="Q1871" s="57"/>
    </row>
    <row r="1872">
      <c r="A1872" s="60" t="s">
        <v>444</v>
      </c>
      <c r="B1872" s="60" t="s">
        <v>638</v>
      </c>
      <c r="C1872" s="57"/>
      <c r="D1872" s="57"/>
      <c r="E1872" s="57"/>
      <c r="F1872" s="57"/>
      <c r="G1872" s="57"/>
      <c r="H1872" s="57"/>
      <c r="I1872" s="57"/>
      <c r="J1872" s="57"/>
      <c r="K1872" s="63"/>
      <c r="L1872" s="57"/>
      <c r="M1872" s="57"/>
      <c r="N1872" s="57"/>
      <c r="O1872" s="57"/>
      <c r="P1872" s="57"/>
      <c r="Q1872" s="57"/>
    </row>
    <row r="1873">
      <c r="A1873" s="60" t="s">
        <v>446</v>
      </c>
      <c r="B1873" s="60" t="s">
        <v>443</v>
      </c>
      <c r="C1873" s="57"/>
      <c r="D1873" s="57"/>
      <c r="E1873" s="57"/>
      <c r="F1873" s="57"/>
      <c r="G1873" s="57"/>
      <c r="H1873" s="57"/>
      <c r="I1873" s="57"/>
      <c r="J1873" s="57"/>
      <c r="K1873" s="63"/>
      <c r="L1873" s="57"/>
      <c r="M1873" s="57"/>
      <c r="N1873" s="57"/>
      <c r="O1873" s="57"/>
      <c r="P1873" s="57"/>
      <c r="Q1873" s="57"/>
    </row>
    <row r="1874">
      <c r="A1874" s="83" t="s">
        <v>300</v>
      </c>
      <c r="B1874" s="60" t="s">
        <v>539</v>
      </c>
      <c r="C1874" s="57"/>
      <c r="D1874" s="57"/>
      <c r="E1874" s="57"/>
      <c r="F1874" s="57"/>
      <c r="G1874" s="57"/>
      <c r="H1874" s="57"/>
      <c r="I1874" s="57"/>
      <c r="J1874" s="57"/>
      <c r="K1874" s="63"/>
      <c r="L1874" s="57"/>
      <c r="M1874" s="57"/>
      <c r="N1874" s="57"/>
      <c r="O1874" s="57"/>
      <c r="P1874" s="57"/>
      <c r="Q1874" s="57"/>
    </row>
    <row r="1875">
      <c r="A1875" s="60" t="s">
        <v>38</v>
      </c>
      <c r="B1875" s="26"/>
      <c r="C1875" s="57"/>
      <c r="D1875" s="57"/>
      <c r="E1875" s="57"/>
      <c r="F1875" s="57"/>
      <c r="G1875" s="57"/>
      <c r="H1875" s="57"/>
      <c r="I1875" s="57"/>
      <c r="J1875" s="57"/>
      <c r="K1875" s="66">
        <v>1200.0</v>
      </c>
      <c r="L1875" s="57">
        <f t="shared" ref="L1875:L1876" si="730">ROUNDDOWN(K1875*1.1,0)</f>
        <v>1320</v>
      </c>
      <c r="M1875" s="57">
        <f t="shared" ref="M1875:M1876" si="731">ROUNDDOWN(K1875*1.21,0)</f>
        <v>1452</v>
      </c>
      <c r="N1875" s="57">
        <f t="shared" ref="N1875:N1876" si="732">ROUNDDOWN(K1875*1.33,0)</f>
        <v>1596</v>
      </c>
      <c r="O1875" s="57">
        <f t="shared" ref="O1875:O1876" si="733">ROUNDDOWN(K1875*1.46,0)</f>
        <v>1752</v>
      </c>
      <c r="P1875" s="57">
        <f t="shared" ref="P1875:P1876" si="734">ROUNDDOWN(K1875*1.57,0)</f>
        <v>1884</v>
      </c>
      <c r="Q1875" s="57"/>
    </row>
    <row r="1876">
      <c r="A1876" s="60" t="s">
        <v>24</v>
      </c>
      <c r="B1876" s="60"/>
      <c r="C1876" s="57"/>
      <c r="D1876" s="57"/>
      <c r="E1876" s="57"/>
      <c r="F1876" s="57"/>
      <c r="G1876" s="57"/>
      <c r="H1876" s="57"/>
      <c r="I1876" s="57"/>
      <c r="J1876" s="57"/>
      <c r="K1876" s="66">
        <v>1100.0</v>
      </c>
      <c r="L1876" s="57">
        <f t="shared" si="730"/>
        <v>1210</v>
      </c>
      <c r="M1876" s="57">
        <f t="shared" si="731"/>
        <v>1331</v>
      </c>
      <c r="N1876" s="57">
        <f t="shared" si="732"/>
        <v>1463</v>
      </c>
      <c r="O1876" s="57">
        <f t="shared" si="733"/>
        <v>1606</v>
      </c>
      <c r="P1876" s="57">
        <f t="shared" si="734"/>
        <v>1727</v>
      </c>
      <c r="Q1876" s="57"/>
    </row>
    <row r="1877">
      <c r="A1877" s="60" t="s">
        <v>428</v>
      </c>
      <c r="B1877" s="60" t="s">
        <v>456</v>
      </c>
      <c r="C1877" s="57"/>
      <c r="D1877" s="57"/>
      <c r="E1877" s="57"/>
      <c r="F1877" s="57"/>
      <c r="G1877" s="57"/>
      <c r="H1877" s="57"/>
      <c r="I1877" s="57"/>
      <c r="J1877" s="57"/>
      <c r="K1877" s="63"/>
      <c r="L1877" s="57"/>
      <c r="M1877" s="57"/>
      <c r="N1877" s="57"/>
      <c r="O1877" s="57"/>
      <c r="P1877" s="57"/>
      <c r="Q1877" s="57"/>
    </row>
    <row r="1878">
      <c r="A1878" s="60" t="s">
        <v>55</v>
      </c>
      <c r="B1878" s="60" t="s">
        <v>430</v>
      </c>
      <c r="C1878" s="57"/>
      <c r="D1878" s="57"/>
      <c r="E1878" s="57"/>
      <c r="F1878" s="57"/>
      <c r="G1878" s="57"/>
      <c r="H1878" s="57"/>
      <c r="I1878" s="57"/>
      <c r="J1878" s="57"/>
      <c r="K1878" s="63"/>
      <c r="L1878" s="57"/>
      <c r="M1878" s="57"/>
      <c r="N1878" s="57"/>
      <c r="O1878" s="57"/>
      <c r="P1878" s="57"/>
      <c r="Q1878" s="57"/>
    </row>
    <row r="1879">
      <c r="A1879" s="60" t="s">
        <v>51</v>
      </c>
      <c r="B1879" s="60" t="s">
        <v>470</v>
      </c>
      <c r="C1879" s="57"/>
      <c r="D1879" s="57"/>
      <c r="E1879" s="57"/>
      <c r="F1879" s="57"/>
      <c r="G1879" s="57"/>
      <c r="H1879" s="57"/>
      <c r="I1879" s="57"/>
      <c r="J1879" s="57"/>
      <c r="K1879" s="63"/>
      <c r="L1879" s="57"/>
      <c r="M1879" s="57"/>
      <c r="N1879" s="57"/>
      <c r="O1879" s="57"/>
      <c r="P1879" s="57"/>
      <c r="Q1879" s="57"/>
    </row>
    <row r="1880">
      <c r="A1880" s="60" t="s">
        <v>49</v>
      </c>
      <c r="B1880" s="60" t="s">
        <v>656</v>
      </c>
      <c r="C1880" s="57"/>
      <c r="D1880" s="57"/>
      <c r="E1880" s="57"/>
      <c r="F1880" s="57"/>
      <c r="G1880" s="57"/>
      <c r="H1880" s="57"/>
      <c r="I1880" s="57"/>
      <c r="J1880" s="57"/>
      <c r="K1880" s="63"/>
      <c r="L1880" s="57"/>
      <c r="M1880" s="57"/>
      <c r="N1880" s="57"/>
      <c r="O1880" s="57"/>
      <c r="P1880" s="57"/>
      <c r="Q1880" s="57"/>
    </row>
    <row r="1881">
      <c r="A1881" s="60" t="s">
        <v>432</v>
      </c>
      <c r="B1881" s="60" t="s">
        <v>541</v>
      </c>
      <c r="C1881" s="57"/>
      <c r="D1881" s="65"/>
      <c r="E1881" s="57"/>
      <c r="F1881" s="57"/>
      <c r="G1881" s="57"/>
      <c r="H1881" s="57"/>
      <c r="I1881" s="57"/>
      <c r="J1881" s="57"/>
      <c r="K1881" s="63"/>
      <c r="L1881" s="57"/>
      <c r="M1881" s="57"/>
      <c r="N1881" s="57"/>
      <c r="O1881" s="57"/>
      <c r="P1881" s="57"/>
      <c r="Q1881" s="57"/>
    </row>
    <row r="1882">
      <c r="A1882" s="60" t="s">
        <v>954</v>
      </c>
      <c r="B1882" s="60" t="s">
        <v>436</v>
      </c>
      <c r="C1882" s="57"/>
      <c r="D1882" s="57"/>
      <c r="E1882" s="57"/>
      <c r="F1882" s="57"/>
      <c r="G1882" s="57"/>
      <c r="H1882" s="57"/>
      <c r="I1882" s="57"/>
      <c r="J1882" s="57"/>
      <c r="K1882" s="63"/>
      <c r="L1882" s="57"/>
      <c r="M1882" s="57"/>
      <c r="N1882" s="57"/>
      <c r="O1882" s="57"/>
      <c r="P1882" s="57"/>
      <c r="Q1882" s="57"/>
    </row>
    <row r="1883">
      <c r="A1883" s="60" t="s">
        <v>422</v>
      </c>
      <c r="B1883" s="60" t="s">
        <v>676</v>
      </c>
      <c r="C1883" s="57"/>
      <c r="D1883" s="57"/>
      <c r="E1883" s="57"/>
      <c r="F1883" s="57"/>
      <c r="G1883" s="57"/>
      <c r="H1883" s="57"/>
      <c r="I1883" s="57"/>
      <c r="J1883" s="57"/>
      <c r="K1883" s="63"/>
      <c r="L1883" s="57"/>
      <c r="M1883" s="57"/>
      <c r="N1883" s="57"/>
      <c r="O1883" s="57"/>
      <c r="P1883" s="57"/>
      <c r="Q1883" s="57"/>
    </row>
    <row r="1884">
      <c r="A1884" s="60" t="s">
        <v>435</v>
      </c>
      <c r="B1884" s="60" t="s">
        <v>436</v>
      </c>
      <c r="C1884" s="57"/>
      <c r="D1884" s="57"/>
      <c r="E1884" s="57"/>
      <c r="F1884" s="57"/>
      <c r="G1884" s="57"/>
      <c r="H1884" s="57"/>
      <c r="I1884" s="57"/>
      <c r="J1884" s="57"/>
      <c r="K1884" s="63"/>
      <c r="L1884" s="57"/>
      <c r="M1884" s="57"/>
      <c r="N1884" s="57"/>
      <c r="O1884" s="57"/>
      <c r="P1884" s="57"/>
      <c r="Q1884" s="57"/>
    </row>
    <row r="1885">
      <c r="A1885" s="60" t="s">
        <v>483</v>
      </c>
      <c r="B1885" s="60" t="s">
        <v>461</v>
      </c>
      <c r="C1885" s="57"/>
      <c r="D1885" s="57"/>
      <c r="E1885" s="57"/>
      <c r="F1885" s="57"/>
      <c r="G1885" s="57"/>
      <c r="H1885" s="57"/>
      <c r="I1885" s="57"/>
      <c r="J1885" s="57"/>
      <c r="K1885" s="63"/>
      <c r="L1885" s="57"/>
      <c r="M1885" s="57"/>
      <c r="N1885" s="57"/>
      <c r="O1885" s="57"/>
      <c r="P1885" s="57"/>
      <c r="Q1885" s="57"/>
    </row>
    <row r="1886">
      <c r="A1886" s="60" t="s">
        <v>53</v>
      </c>
      <c r="B1886" s="60" t="s">
        <v>456</v>
      </c>
      <c r="C1886" s="57"/>
      <c r="D1886" s="57"/>
      <c r="E1886" s="57"/>
      <c r="F1886" s="57"/>
      <c r="G1886" s="57"/>
      <c r="H1886" s="57"/>
      <c r="I1886" s="57"/>
      <c r="J1886" s="57"/>
      <c r="K1886" s="63"/>
      <c r="L1886" s="57"/>
      <c r="M1886" s="57"/>
      <c r="N1886" s="57"/>
      <c r="O1886" s="57"/>
      <c r="P1886" s="57"/>
      <c r="Q1886" s="57"/>
    </row>
    <row r="1887">
      <c r="A1887" s="60" t="s">
        <v>50</v>
      </c>
      <c r="B1887" s="60" t="s">
        <v>98</v>
      </c>
      <c r="C1887" s="57"/>
      <c r="D1887" s="57"/>
      <c r="E1887" s="57"/>
      <c r="F1887" s="57"/>
      <c r="G1887" s="57"/>
      <c r="H1887" s="57"/>
      <c r="I1887" s="57"/>
      <c r="J1887" s="57"/>
      <c r="K1887" s="63"/>
      <c r="L1887" s="57"/>
      <c r="M1887" s="57"/>
      <c r="N1887" s="57"/>
      <c r="O1887" s="57"/>
      <c r="P1887" s="57"/>
      <c r="Q1887" s="57"/>
    </row>
    <row r="1888">
      <c r="A1888" s="60" t="s">
        <v>837</v>
      </c>
      <c r="B1888" s="60" t="s">
        <v>473</v>
      </c>
      <c r="C1888" s="57"/>
      <c r="D1888" s="57"/>
      <c r="E1888" s="57"/>
      <c r="F1888" s="57"/>
      <c r="G1888" s="57"/>
      <c r="H1888" s="57"/>
      <c r="I1888" s="57"/>
      <c r="J1888" s="57"/>
      <c r="K1888" s="63"/>
      <c r="L1888" s="57"/>
      <c r="M1888" s="57"/>
      <c r="N1888" s="57"/>
      <c r="O1888" s="57"/>
      <c r="P1888" s="57"/>
      <c r="Q1888" s="57"/>
    </row>
    <row r="1889">
      <c r="A1889" s="60" t="s">
        <v>438</v>
      </c>
      <c r="B1889" s="60" t="s">
        <v>472</v>
      </c>
      <c r="C1889" s="57"/>
      <c r="D1889" s="57"/>
      <c r="E1889" s="57"/>
      <c r="F1889" s="57"/>
      <c r="G1889" s="57"/>
      <c r="H1889" s="57"/>
      <c r="I1889" s="57"/>
      <c r="J1889" s="57"/>
      <c r="K1889" s="63"/>
      <c r="L1889" s="57"/>
      <c r="M1889" s="57"/>
      <c r="N1889" s="57"/>
      <c r="O1889" s="57"/>
      <c r="P1889" s="57"/>
      <c r="Q1889" s="57"/>
    </row>
    <row r="1890">
      <c r="A1890" s="60" t="s">
        <v>439</v>
      </c>
      <c r="B1890" s="60" t="s">
        <v>505</v>
      </c>
      <c r="C1890" s="57"/>
      <c r="D1890" s="57"/>
      <c r="E1890" s="57"/>
      <c r="F1890" s="57"/>
      <c r="G1890" s="57"/>
      <c r="H1890" s="57"/>
      <c r="I1890" s="57"/>
      <c r="J1890" s="57"/>
      <c r="K1890" s="63"/>
      <c r="L1890" s="57"/>
      <c r="M1890" s="57"/>
      <c r="N1890" s="57"/>
      <c r="O1890" s="57"/>
      <c r="P1890" s="57"/>
      <c r="Q1890" s="57"/>
    </row>
    <row r="1891">
      <c r="A1891" s="60" t="s">
        <v>441</v>
      </c>
      <c r="B1891" s="60">
        <v>18.0</v>
      </c>
      <c r="C1891" s="57"/>
      <c r="D1891" s="57"/>
      <c r="E1891" s="57"/>
      <c r="F1891" s="57"/>
      <c r="G1891" s="57"/>
      <c r="H1891" s="57"/>
      <c r="I1891" s="57"/>
      <c r="J1891" s="57"/>
      <c r="K1891" s="63"/>
      <c r="L1891" s="57"/>
      <c r="M1891" s="57"/>
      <c r="N1891" s="57"/>
      <c r="O1891" s="57"/>
      <c r="P1891" s="57"/>
      <c r="Q1891" s="57"/>
    </row>
    <row r="1892">
      <c r="A1892" s="60" t="s">
        <v>444</v>
      </c>
      <c r="B1892" s="60" t="s">
        <v>458</v>
      </c>
      <c r="C1892" s="57"/>
      <c r="D1892" s="57"/>
      <c r="E1892" s="57"/>
      <c r="F1892" s="57"/>
      <c r="G1892" s="57"/>
      <c r="H1892" s="57"/>
      <c r="I1892" s="57"/>
      <c r="J1892" s="57"/>
      <c r="K1892" s="63"/>
      <c r="L1892" s="57"/>
      <c r="M1892" s="57"/>
      <c r="N1892" s="57"/>
      <c r="O1892" s="57"/>
      <c r="P1892" s="57"/>
      <c r="Q1892" s="57"/>
    </row>
    <row r="1893">
      <c r="A1893" s="60" t="s">
        <v>446</v>
      </c>
      <c r="B1893" s="60" t="s">
        <v>461</v>
      </c>
      <c r="C1893" s="57"/>
      <c r="D1893" s="57"/>
      <c r="E1893" s="57"/>
      <c r="F1893" s="57"/>
      <c r="G1893" s="57"/>
      <c r="H1893" s="57"/>
      <c r="I1893" s="57"/>
      <c r="J1893" s="57"/>
      <c r="K1893" s="63"/>
      <c r="L1893" s="57"/>
      <c r="M1893" s="57"/>
      <c r="N1893" s="57"/>
      <c r="O1893" s="57"/>
      <c r="P1893" s="57"/>
      <c r="Q1893" s="57"/>
    </row>
    <row r="1894">
      <c r="A1894" s="60" t="s">
        <v>674</v>
      </c>
      <c r="B1894" s="60" t="s">
        <v>857</v>
      </c>
      <c r="C1894" s="57"/>
      <c r="D1894" s="57"/>
      <c r="E1894" s="57"/>
      <c r="F1894" s="57"/>
      <c r="G1894" s="57"/>
      <c r="H1894" s="57"/>
      <c r="I1894" s="57"/>
      <c r="J1894" s="57"/>
      <c r="K1894" s="63"/>
      <c r="L1894" s="57"/>
      <c r="M1894" s="57"/>
      <c r="N1894" s="57"/>
      <c r="O1894" s="57"/>
      <c r="P1894" s="57"/>
      <c r="Q1894" s="57"/>
    </row>
    <row r="1895">
      <c r="A1895" s="67" t="s">
        <v>393</v>
      </c>
      <c r="B1895" s="60" t="s">
        <v>416</v>
      </c>
      <c r="C1895" s="57"/>
      <c r="D1895" s="57"/>
      <c r="E1895" s="57"/>
      <c r="F1895" s="57"/>
      <c r="G1895" s="57"/>
      <c r="H1895" s="57"/>
      <c r="I1895" s="57"/>
      <c r="J1895" s="57"/>
      <c r="K1895" s="63"/>
      <c r="L1895" s="57"/>
      <c r="M1895" s="57"/>
      <c r="N1895" s="57"/>
      <c r="O1895" s="57"/>
      <c r="P1895" s="57"/>
      <c r="Q1895" s="57"/>
    </row>
    <row r="1896">
      <c r="A1896" s="60" t="s">
        <v>24</v>
      </c>
      <c r="B1896" s="60"/>
      <c r="C1896" s="65">
        <v>171.0</v>
      </c>
      <c r="D1896" s="57">
        <f>ROUNDDOWN(C1896*1.1,0)</f>
        <v>188</v>
      </c>
      <c r="E1896" s="57">
        <f>ROUNDDOWN(C1896*1.21,0)</f>
        <v>206</v>
      </c>
      <c r="F1896" s="57">
        <f>ROUNDDOWN(C1896*1.33,0)</f>
        <v>227</v>
      </c>
      <c r="G1896" s="57">
        <f>ROUNDDOWN(C1896*1.46,0)</f>
        <v>249</v>
      </c>
      <c r="H1896" s="57">
        <f>ROUNDDOWN(C1896*1.6,0)</f>
        <v>273</v>
      </c>
      <c r="I1896" s="57">
        <f>ROUNDDOWN(C1896*1.76,0)</f>
        <v>300</v>
      </c>
      <c r="J1896" s="57">
        <f>ROUNDDOWN(C1896*1.93,0)</f>
        <v>330</v>
      </c>
      <c r="K1896" s="63">
        <f>ROUNDDOWN(C1896*2.12,0)</f>
        <v>362</v>
      </c>
      <c r="L1896" s="57">
        <f>ROUNDDOWN(C1896*2.33,0)</f>
        <v>398</v>
      </c>
      <c r="M1896" s="57">
        <f>ROUNDDOWN(C1896*2.56,0)</f>
        <v>437</v>
      </c>
      <c r="N1896" s="57">
        <f>ROUNDDOWN(C1896*2.81,0)</f>
        <v>480</v>
      </c>
      <c r="O1896" s="57">
        <f>ROUNDDOWN(C1896*3.09,0)</f>
        <v>528</v>
      </c>
      <c r="P1896" s="57">
        <f>ROUNDDOWN(C1896*3.39,0)</f>
        <v>579</v>
      </c>
      <c r="Q1896" s="57"/>
    </row>
    <row r="1897">
      <c r="A1897" s="60" t="s">
        <v>503</v>
      </c>
      <c r="B1897" s="60"/>
      <c r="C1897" s="57">
        <f t="shared" ref="C1897:P1897" si="735">C$3</f>
        <v>1</v>
      </c>
      <c r="D1897" s="57">
        <f t="shared" si="735"/>
        <v>2</v>
      </c>
      <c r="E1897" s="57">
        <f t="shared" si="735"/>
        <v>3</v>
      </c>
      <c r="F1897" s="57">
        <f t="shared" si="735"/>
        <v>4</v>
      </c>
      <c r="G1897" s="57">
        <f t="shared" si="735"/>
        <v>5</v>
      </c>
      <c r="H1897" s="57">
        <f t="shared" si="735"/>
        <v>6</v>
      </c>
      <c r="I1897" s="57">
        <f t="shared" si="735"/>
        <v>7</v>
      </c>
      <c r="J1897" s="57">
        <f t="shared" si="735"/>
        <v>8</v>
      </c>
      <c r="K1897" s="63">
        <f t="shared" si="735"/>
        <v>9</v>
      </c>
      <c r="L1897" s="57">
        <f t="shared" si="735"/>
        <v>10</v>
      </c>
      <c r="M1897" s="57">
        <f t="shared" si="735"/>
        <v>11</v>
      </c>
      <c r="N1897" s="57">
        <f t="shared" si="735"/>
        <v>12</v>
      </c>
      <c r="O1897" s="57">
        <f t="shared" si="735"/>
        <v>13</v>
      </c>
      <c r="P1897" s="57">
        <f t="shared" si="735"/>
        <v>14</v>
      </c>
      <c r="Q1897" s="57"/>
    </row>
    <row r="1898">
      <c r="A1898" s="60" t="s">
        <v>955</v>
      </c>
      <c r="B1898" s="60" t="s">
        <v>602</v>
      </c>
      <c r="C1898" s="57"/>
      <c r="D1898" s="57"/>
      <c r="E1898" s="57"/>
      <c r="F1898" s="57"/>
      <c r="G1898" s="57"/>
      <c r="H1898" s="57"/>
      <c r="I1898" s="57"/>
      <c r="J1898" s="57"/>
      <c r="K1898" s="63"/>
      <c r="L1898" s="57"/>
      <c r="M1898" s="57"/>
      <c r="N1898" s="57"/>
      <c r="O1898" s="57"/>
      <c r="P1898" s="57"/>
      <c r="Q1898" s="57"/>
    </row>
    <row r="1899">
      <c r="A1899" s="60" t="s">
        <v>80</v>
      </c>
      <c r="B1899" s="60" t="s">
        <v>498</v>
      </c>
      <c r="C1899" s="57"/>
      <c r="D1899" s="57"/>
      <c r="E1899" s="57"/>
      <c r="F1899" s="57"/>
      <c r="G1899" s="57"/>
      <c r="H1899" s="57"/>
      <c r="I1899" s="57"/>
      <c r="J1899" s="57"/>
      <c r="K1899" s="63"/>
      <c r="L1899" s="57"/>
      <c r="M1899" s="57"/>
      <c r="N1899" s="57"/>
      <c r="O1899" s="57"/>
      <c r="P1899" s="57"/>
      <c r="Q1899" s="57"/>
    </row>
    <row r="1900">
      <c r="A1900" s="60" t="s">
        <v>50</v>
      </c>
      <c r="B1900" s="60" t="s">
        <v>956</v>
      </c>
      <c r="C1900" s="57"/>
      <c r="D1900" s="57"/>
      <c r="E1900" s="57"/>
      <c r="F1900" s="57"/>
      <c r="G1900" s="57"/>
      <c r="H1900" s="57"/>
      <c r="I1900" s="57"/>
      <c r="J1900" s="57"/>
      <c r="K1900" s="63"/>
      <c r="L1900" s="57"/>
      <c r="M1900" s="57"/>
      <c r="N1900" s="57"/>
      <c r="O1900" s="57"/>
      <c r="P1900" s="57"/>
      <c r="Q1900" s="57"/>
    </row>
    <row r="1901">
      <c r="A1901" s="60" t="s">
        <v>422</v>
      </c>
      <c r="B1901" s="60" t="s">
        <v>957</v>
      </c>
      <c r="C1901" s="57"/>
      <c r="D1901" s="57"/>
      <c r="E1901" s="57"/>
      <c r="F1901" s="57"/>
      <c r="G1901" s="57"/>
      <c r="H1901" s="57"/>
      <c r="I1901" s="57"/>
      <c r="J1901" s="57"/>
      <c r="K1901" s="63"/>
      <c r="L1901" s="57"/>
      <c r="M1901" s="57"/>
      <c r="N1901" s="57"/>
      <c r="O1901" s="57"/>
      <c r="P1901" s="57"/>
      <c r="Q1901" s="57"/>
    </row>
    <row r="1902">
      <c r="A1902" s="60" t="s">
        <v>519</v>
      </c>
      <c r="B1902" s="60" t="s">
        <v>843</v>
      </c>
      <c r="C1902" s="57"/>
      <c r="D1902" s="57"/>
      <c r="E1902" s="57"/>
      <c r="F1902" s="57"/>
      <c r="G1902" s="57"/>
      <c r="H1902" s="57"/>
      <c r="I1902" s="57"/>
      <c r="J1902" s="57"/>
      <c r="K1902" s="63"/>
      <c r="L1902" s="57"/>
      <c r="M1902" s="57"/>
      <c r="N1902" s="57"/>
      <c r="O1902" s="57"/>
      <c r="P1902" s="57"/>
      <c r="Q1902" s="57"/>
    </row>
    <row r="1903">
      <c r="A1903" s="60" t="s">
        <v>508</v>
      </c>
      <c r="B1903" s="60" t="s">
        <v>394</v>
      </c>
      <c r="C1903" s="57"/>
      <c r="D1903" s="57"/>
      <c r="E1903" s="57"/>
      <c r="F1903" s="57"/>
      <c r="G1903" s="57"/>
      <c r="H1903" s="57"/>
      <c r="I1903" s="57"/>
      <c r="J1903" s="57"/>
      <c r="K1903" s="63"/>
      <c r="L1903" s="57"/>
      <c r="M1903" s="57"/>
      <c r="N1903" s="57"/>
      <c r="O1903" s="57"/>
      <c r="P1903" s="57"/>
      <c r="Q1903" s="57"/>
    </row>
    <row r="1904">
      <c r="A1904" s="60" t="s">
        <v>520</v>
      </c>
      <c r="B1904" s="60">
        <v>1.0</v>
      </c>
      <c r="C1904" s="57"/>
      <c r="D1904" s="57"/>
      <c r="E1904" s="57"/>
      <c r="F1904" s="57"/>
      <c r="G1904" s="57"/>
      <c r="H1904" s="57"/>
      <c r="I1904" s="57"/>
      <c r="J1904" s="57"/>
      <c r="K1904" s="63"/>
      <c r="L1904" s="57"/>
      <c r="M1904" s="57"/>
      <c r="N1904" s="57"/>
      <c r="O1904" s="57"/>
      <c r="P1904" s="57"/>
      <c r="Q1904" s="57"/>
    </row>
    <row r="1905">
      <c r="A1905" s="60" t="s">
        <v>958</v>
      </c>
      <c r="B1905" s="60" t="s">
        <v>843</v>
      </c>
      <c r="C1905" s="57"/>
      <c r="D1905" s="57"/>
      <c r="E1905" s="57"/>
      <c r="F1905" s="57"/>
      <c r="G1905" s="57"/>
      <c r="H1905" s="57"/>
      <c r="I1905" s="57"/>
      <c r="J1905" s="57"/>
      <c r="K1905" s="63"/>
      <c r="L1905" s="57"/>
      <c r="M1905" s="57"/>
      <c r="N1905" s="57"/>
      <c r="O1905" s="57"/>
      <c r="P1905" s="57"/>
      <c r="Q1905" s="57"/>
    </row>
    <row r="1906">
      <c r="A1906" s="60" t="s">
        <v>959</v>
      </c>
      <c r="B1906" s="60" t="s">
        <v>960</v>
      </c>
      <c r="C1906" s="57"/>
      <c r="D1906" s="57"/>
      <c r="E1906" s="57"/>
      <c r="F1906" s="57"/>
      <c r="G1906" s="57"/>
      <c r="H1906" s="57"/>
      <c r="I1906" s="57"/>
      <c r="J1906" s="57"/>
      <c r="K1906" s="63"/>
      <c r="L1906" s="57"/>
      <c r="M1906" s="57"/>
      <c r="N1906" s="57"/>
      <c r="O1906" s="57"/>
      <c r="P1906" s="57"/>
      <c r="Q1906" s="57"/>
    </row>
    <row r="1907">
      <c r="A1907" s="67" t="s">
        <v>150</v>
      </c>
      <c r="B1907" s="60" t="s">
        <v>459</v>
      </c>
      <c r="C1907" s="57"/>
      <c r="D1907" s="57"/>
      <c r="E1907" s="57"/>
      <c r="F1907" s="57"/>
      <c r="G1907" s="57"/>
      <c r="H1907" s="57"/>
      <c r="I1907" s="57"/>
      <c r="J1907" s="57"/>
      <c r="K1907" s="63"/>
      <c r="L1907" s="57"/>
      <c r="M1907" s="57"/>
      <c r="N1907" s="57"/>
      <c r="O1907" s="57"/>
      <c r="P1907" s="57"/>
      <c r="Q1907" s="57"/>
    </row>
    <row r="1908">
      <c r="A1908" s="60" t="s">
        <v>38</v>
      </c>
      <c r="B1908" s="60"/>
      <c r="C1908" s="65">
        <v>208.0</v>
      </c>
      <c r="D1908" s="57">
        <f t="shared" ref="D1908:D1909" si="736">ROUNDDOWN(C1908*1.1,0)</f>
        <v>228</v>
      </c>
      <c r="E1908" s="57">
        <f t="shared" ref="E1908:E1909" si="737">ROUNDDOWN(C1908*1.21,0)</f>
        <v>251</v>
      </c>
      <c r="F1908" s="57">
        <f t="shared" ref="F1908:F1909" si="738">ROUNDDOWN(C1908*1.33,0)</f>
        <v>276</v>
      </c>
      <c r="G1908" s="57">
        <f t="shared" ref="G1908:G1909" si="739">ROUNDDOWN(C1908*1.46,0)</f>
        <v>303</v>
      </c>
      <c r="H1908" s="57">
        <f t="shared" ref="H1908:H1909" si="740">ROUNDDOWN(C1908*1.6,0)</f>
        <v>332</v>
      </c>
      <c r="I1908" s="57">
        <f t="shared" ref="I1908:I1909" si="741">ROUNDDOWN(C1908*1.76,0)</f>
        <v>366</v>
      </c>
      <c r="J1908" s="57">
        <f t="shared" ref="J1908:J1909" si="742">ROUNDDOWN(C1908*1.93,0)</f>
        <v>401</v>
      </c>
      <c r="K1908" s="63">
        <f t="shared" ref="K1908:K1909" si="743">ROUNDDOWN(C1908*2.12,0)</f>
        <v>440</v>
      </c>
      <c r="L1908" s="57">
        <f t="shared" ref="L1908:L1909" si="744">ROUNDDOWN(C1908*2.33,0)</f>
        <v>484</v>
      </c>
      <c r="M1908" s="57">
        <f t="shared" ref="M1908:M1909" si="745">ROUNDDOWN(C1908*2.56,0)</f>
        <v>532</v>
      </c>
      <c r="N1908" s="57">
        <f t="shared" ref="N1908:N1909" si="746">ROUNDDOWN(C1908*2.81,0)</f>
        <v>584</v>
      </c>
      <c r="O1908" s="57">
        <f t="shared" ref="O1908:O1909" si="747">ROUNDDOWN(C1908*3.09,0)</f>
        <v>642</v>
      </c>
      <c r="P1908" s="57">
        <f t="shared" ref="P1908:P1909" si="748">ROUNDDOWN(C1908*3.39,0)</f>
        <v>705</v>
      </c>
      <c r="Q1908" s="57"/>
    </row>
    <row r="1909">
      <c r="A1909" s="60" t="s">
        <v>24</v>
      </c>
      <c r="B1909" s="60"/>
      <c r="C1909" s="65">
        <v>63.0</v>
      </c>
      <c r="D1909" s="57">
        <f t="shared" si="736"/>
        <v>69</v>
      </c>
      <c r="E1909" s="57">
        <f t="shared" si="737"/>
        <v>76</v>
      </c>
      <c r="F1909" s="57">
        <f t="shared" si="738"/>
        <v>83</v>
      </c>
      <c r="G1909" s="57">
        <f t="shared" si="739"/>
        <v>91</v>
      </c>
      <c r="H1909" s="57">
        <f t="shared" si="740"/>
        <v>100</v>
      </c>
      <c r="I1909" s="57">
        <f t="shared" si="741"/>
        <v>110</v>
      </c>
      <c r="J1909" s="57">
        <f t="shared" si="742"/>
        <v>121</v>
      </c>
      <c r="K1909" s="63">
        <f t="shared" si="743"/>
        <v>133</v>
      </c>
      <c r="L1909" s="57">
        <f t="shared" si="744"/>
        <v>146</v>
      </c>
      <c r="M1909" s="57">
        <f t="shared" si="745"/>
        <v>161</v>
      </c>
      <c r="N1909" s="57">
        <f t="shared" si="746"/>
        <v>177</v>
      </c>
      <c r="O1909" s="57">
        <f t="shared" si="747"/>
        <v>194</v>
      </c>
      <c r="P1909" s="57">
        <f t="shared" si="748"/>
        <v>213</v>
      </c>
      <c r="Q1909" s="57"/>
    </row>
    <row r="1910">
      <c r="A1910" s="60" t="s">
        <v>428</v>
      </c>
      <c r="B1910" s="60" t="s">
        <v>429</v>
      </c>
      <c r="C1910" s="57"/>
      <c r="D1910" s="57"/>
      <c r="E1910" s="57"/>
      <c r="F1910" s="57"/>
      <c r="G1910" s="57"/>
      <c r="H1910" s="57"/>
      <c r="I1910" s="57"/>
      <c r="J1910" s="57"/>
      <c r="K1910" s="63"/>
      <c r="L1910" s="57"/>
      <c r="M1910" s="57"/>
      <c r="N1910" s="57"/>
      <c r="O1910" s="57"/>
      <c r="P1910" s="57"/>
      <c r="Q1910" s="57"/>
    </row>
    <row r="1911">
      <c r="A1911" s="60" t="s">
        <v>55</v>
      </c>
      <c r="B1911" s="60" t="s">
        <v>430</v>
      </c>
      <c r="C1911" s="57"/>
      <c r="D1911" s="57"/>
      <c r="E1911" s="57"/>
      <c r="F1911" s="57"/>
      <c r="G1911" s="57"/>
      <c r="H1911" s="57"/>
      <c r="I1911" s="57"/>
      <c r="J1911" s="57"/>
      <c r="K1911" s="63"/>
      <c r="L1911" s="57"/>
      <c r="M1911" s="57"/>
      <c r="N1911" s="57"/>
      <c r="O1911" s="57"/>
      <c r="P1911" s="57"/>
      <c r="Q1911" s="57"/>
    </row>
    <row r="1912">
      <c r="A1912" s="60" t="s">
        <v>51</v>
      </c>
      <c r="B1912" s="60" t="s">
        <v>431</v>
      </c>
      <c r="C1912" s="57"/>
      <c r="D1912" s="57"/>
      <c r="E1912" s="57"/>
      <c r="F1912" s="57"/>
      <c r="G1912" s="57"/>
      <c r="H1912" s="57"/>
      <c r="I1912" s="57"/>
      <c r="J1912" s="57"/>
      <c r="K1912" s="63"/>
      <c r="L1912" s="57"/>
      <c r="M1912" s="57"/>
      <c r="N1912" s="57"/>
      <c r="O1912" s="57"/>
      <c r="P1912" s="57"/>
      <c r="Q1912" s="57"/>
    </row>
    <row r="1913">
      <c r="A1913" s="60" t="s">
        <v>49</v>
      </c>
      <c r="B1913" s="60" t="s">
        <v>961</v>
      </c>
      <c r="C1913" s="57"/>
      <c r="D1913" s="57"/>
      <c r="E1913" s="57"/>
      <c r="F1913" s="57"/>
      <c r="G1913" s="57"/>
      <c r="H1913" s="57"/>
      <c r="I1913" s="57"/>
      <c r="J1913" s="57"/>
      <c r="K1913" s="63"/>
      <c r="L1913" s="57"/>
      <c r="M1913" s="57"/>
      <c r="N1913" s="57"/>
      <c r="O1913" s="57"/>
      <c r="P1913" s="57"/>
      <c r="Q1913" s="57"/>
    </row>
    <row r="1914">
      <c r="A1914" s="60" t="s">
        <v>432</v>
      </c>
      <c r="B1914" s="60" t="s">
        <v>471</v>
      </c>
      <c r="C1914" s="57"/>
      <c r="D1914" s="57"/>
      <c r="E1914" s="57"/>
      <c r="F1914" s="57"/>
      <c r="G1914" s="57"/>
      <c r="H1914" s="57"/>
      <c r="I1914" s="57"/>
      <c r="J1914" s="57"/>
      <c r="K1914" s="63"/>
      <c r="L1914" s="57"/>
      <c r="M1914" s="57"/>
      <c r="N1914" s="57"/>
      <c r="O1914" s="57"/>
      <c r="P1914" s="57"/>
      <c r="Q1914" s="57"/>
    </row>
    <row r="1915">
      <c r="A1915" s="60" t="s">
        <v>422</v>
      </c>
      <c r="B1915" s="60" t="s">
        <v>496</v>
      </c>
      <c r="C1915" s="57"/>
      <c r="D1915" s="57"/>
      <c r="E1915" s="57"/>
      <c r="F1915" s="57"/>
      <c r="G1915" s="57"/>
      <c r="H1915" s="57"/>
      <c r="I1915" s="57"/>
      <c r="J1915" s="57"/>
      <c r="K1915" s="63"/>
      <c r="L1915" s="57"/>
      <c r="M1915" s="57"/>
      <c r="N1915" s="57"/>
      <c r="O1915" s="57"/>
      <c r="P1915" s="57"/>
      <c r="Q1915" s="57"/>
    </row>
    <row r="1916">
      <c r="A1916" s="60" t="s">
        <v>435</v>
      </c>
      <c r="B1916" s="60" t="s">
        <v>436</v>
      </c>
      <c r="C1916" s="57"/>
      <c r="D1916" s="57"/>
      <c r="E1916" s="57"/>
      <c r="F1916" s="57"/>
      <c r="G1916" s="57"/>
      <c r="H1916" s="57"/>
      <c r="I1916" s="57"/>
      <c r="J1916" s="57"/>
      <c r="K1916" s="63"/>
      <c r="L1916" s="57"/>
      <c r="M1916" s="57"/>
      <c r="N1916" s="57"/>
      <c r="O1916" s="57"/>
      <c r="P1916" s="57"/>
      <c r="Q1916" s="57"/>
    </row>
    <row r="1917">
      <c r="A1917" s="60" t="s">
        <v>483</v>
      </c>
      <c r="B1917" s="60" t="s">
        <v>464</v>
      </c>
      <c r="C1917" s="57"/>
      <c r="D1917" s="57"/>
      <c r="E1917" s="57"/>
      <c r="F1917" s="57"/>
      <c r="G1917" s="57"/>
      <c r="H1917" s="57"/>
      <c r="I1917" s="57"/>
      <c r="J1917" s="57"/>
      <c r="K1917" s="63"/>
      <c r="L1917" s="57"/>
      <c r="M1917" s="57"/>
      <c r="N1917" s="57"/>
      <c r="O1917" s="57"/>
      <c r="P1917" s="57"/>
      <c r="Q1917" s="57"/>
    </row>
    <row r="1918">
      <c r="A1918" s="60" t="s">
        <v>426</v>
      </c>
      <c r="B1918" s="60" t="s">
        <v>497</v>
      </c>
      <c r="C1918" s="57"/>
      <c r="D1918" s="57"/>
      <c r="E1918" s="57"/>
      <c r="F1918" s="57"/>
      <c r="G1918" s="57"/>
      <c r="H1918" s="57"/>
      <c r="I1918" s="57"/>
      <c r="J1918" s="57"/>
      <c r="K1918" s="63"/>
      <c r="L1918" s="57"/>
      <c r="M1918" s="57"/>
      <c r="N1918" s="57"/>
      <c r="O1918" s="57"/>
      <c r="P1918" s="57"/>
      <c r="Q1918" s="57"/>
    </row>
    <row r="1919">
      <c r="A1919" s="60" t="s">
        <v>53</v>
      </c>
      <c r="B1919" s="60" t="s">
        <v>499</v>
      </c>
      <c r="C1919" s="57"/>
      <c r="D1919" s="57"/>
      <c r="E1919" s="57"/>
      <c r="F1919" s="57"/>
      <c r="G1919" s="57"/>
      <c r="H1919" s="57"/>
      <c r="I1919" s="57"/>
      <c r="J1919" s="57"/>
      <c r="K1919" s="63"/>
      <c r="L1919" s="57"/>
      <c r="M1919" s="57"/>
      <c r="N1919" s="57"/>
      <c r="O1919" s="57"/>
      <c r="P1919" s="57"/>
      <c r="Q1919" s="57"/>
    </row>
    <row r="1920">
      <c r="A1920" s="60" t="s">
        <v>50</v>
      </c>
      <c r="B1920" s="60" t="s">
        <v>425</v>
      </c>
      <c r="C1920" s="57"/>
      <c r="D1920" s="57"/>
      <c r="E1920" s="57"/>
      <c r="F1920" s="57"/>
      <c r="G1920" s="57"/>
      <c r="H1920" s="57"/>
      <c r="I1920" s="57"/>
      <c r="J1920" s="57"/>
      <c r="K1920" s="63"/>
      <c r="L1920" s="57"/>
      <c r="M1920" s="57"/>
      <c r="N1920" s="57"/>
      <c r="O1920" s="57"/>
      <c r="P1920" s="57"/>
      <c r="Q1920" s="57"/>
    </row>
    <row r="1921">
      <c r="A1921" s="60" t="s">
        <v>438</v>
      </c>
      <c r="B1921" s="60" t="s">
        <v>436</v>
      </c>
      <c r="C1921" s="57"/>
      <c r="D1921" s="57"/>
      <c r="E1921" s="57"/>
      <c r="F1921" s="57"/>
      <c r="G1921" s="57"/>
      <c r="H1921" s="57"/>
      <c r="I1921" s="57"/>
      <c r="J1921" s="57"/>
      <c r="K1921" s="63"/>
      <c r="L1921" s="57"/>
      <c r="M1921" s="57"/>
      <c r="N1921" s="57"/>
      <c r="O1921" s="57"/>
      <c r="P1921" s="57"/>
      <c r="Q1921" s="57"/>
    </row>
    <row r="1922">
      <c r="A1922" s="60" t="s">
        <v>439</v>
      </c>
      <c r="B1922" s="60" t="s">
        <v>588</v>
      </c>
      <c r="C1922" s="57"/>
      <c r="D1922" s="57"/>
      <c r="E1922" s="57"/>
      <c r="F1922" s="57"/>
      <c r="G1922" s="57"/>
      <c r="H1922" s="57"/>
      <c r="I1922" s="57"/>
      <c r="J1922" s="57"/>
      <c r="K1922" s="63"/>
      <c r="L1922" s="57"/>
      <c r="M1922" s="57"/>
      <c r="N1922" s="57"/>
      <c r="O1922" s="57"/>
      <c r="P1922" s="57"/>
      <c r="Q1922" s="57"/>
    </row>
    <row r="1923">
      <c r="A1923" s="60" t="s">
        <v>441</v>
      </c>
      <c r="B1923" s="60">
        <v>4.0</v>
      </c>
      <c r="C1923" s="57"/>
      <c r="D1923" s="57"/>
      <c r="E1923" s="57"/>
      <c r="F1923" s="57"/>
      <c r="G1923" s="57"/>
      <c r="H1923" s="57"/>
      <c r="I1923" s="57"/>
      <c r="J1923" s="57"/>
      <c r="K1923" s="63"/>
      <c r="L1923" s="57"/>
      <c r="M1923" s="57"/>
      <c r="N1923" s="57"/>
      <c r="O1923" s="57"/>
      <c r="P1923" s="57"/>
      <c r="Q1923" s="57"/>
    </row>
    <row r="1924">
      <c r="A1924" s="60" t="s">
        <v>442</v>
      </c>
      <c r="B1924" s="60" t="s">
        <v>462</v>
      </c>
      <c r="C1924" s="57"/>
      <c r="D1924" s="57"/>
      <c r="E1924" s="57"/>
      <c r="F1924" s="57"/>
      <c r="G1924" s="57"/>
      <c r="H1924" s="57"/>
      <c r="I1924" s="57"/>
      <c r="J1924" s="57"/>
      <c r="K1924" s="63"/>
      <c r="L1924" s="57"/>
      <c r="M1924" s="57"/>
      <c r="N1924" s="57"/>
      <c r="O1924" s="57"/>
      <c r="P1924" s="57"/>
      <c r="Q1924" s="57"/>
    </row>
    <row r="1925">
      <c r="A1925" s="60" t="s">
        <v>444</v>
      </c>
      <c r="B1925" s="60" t="s">
        <v>445</v>
      </c>
      <c r="C1925" s="57"/>
      <c r="D1925" s="57"/>
      <c r="E1925" s="57"/>
      <c r="F1925" s="57"/>
      <c r="G1925" s="57"/>
      <c r="H1925" s="57"/>
      <c r="I1925" s="57"/>
      <c r="J1925" s="57"/>
      <c r="K1925" s="63"/>
      <c r="L1925" s="57"/>
      <c r="M1925" s="57"/>
      <c r="N1925" s="57"/>
      <c r="O1925" s="57"/>
      <c r="P1925" s="57"/>
      <c r="Q1925" s="57"/>
    </row>
    <row r="1926">
      <c r="A1926" s="60" t="s">
        <v>446</v>
      </c>
      <c r="B1926" s="60" t="s">
        <v>445</v>
      </c>
      <c r="C1926" s="57"/>
      <c r="D1926" s="57"/>
      <c r="E1926" s="57"/>
      <c r="F1926" s="57"/>
      <c r="G1926" s="57"/>
      <c r="H1926" s="57"/>
      <c r="I1926" s="57"/>
      <c r="J1926" s="57"/>
      <c r="K1926" s="63"/>
      <c r="L1926" s="57"/>
      <c r="M1926" s="57"/>
      <c r="N1926" s="57"/>
      <c r="O1926" s="57"/>
      <c r="P1926" s="57"/>
      <c r="Q1926" s="57"/>
    </row>
    <row r="1927">
      <c r="A1927" s="68" t="s">
        <v>116</v>
      </c>
      <c r="B1927" s="60" t="s">
        <v>459</v>
      </c>
      <c r="C1927" s="57"/>
      <c r="D1927" s="57"/>
      <c r="E1927" s="57"/>
      <c r="F1927" s="57"/>
      <c r="G1927" s="57"/>
      <c r="H1927" s="57"/>
      <c r="I1927" s="57"/>
      <c r="J1927" s="57"/>
      <c r="K1927" s="63"/>
      <c r="L1927" s="57"/>
      <c r="M1927" s="57"/>
      <c r="N1927" s="57"/>
      <c r="O1927" s="57"/>
      <c r="P1927" s="57"/>
      <c r="Q1927" s="57"/>
    </row>
    <row r="1928">
      <c r="A1928" s="60" t="s">
        <v>38</v>
      </c>
      <c r="B1928" s="60"/>
      <c r="C1928" s="57"/>
      <c r="D1928" s="57"/>
      <c r="E1928" s="65">
        <v>455.0</v>
      </c>
      <c r="F1928" s="57">
        <f t="shared" ref="F1928:F1930" si="749">ROUNDDOWN(E1928*1.1,0)</f>
        <v>500</v>
      </c>
      <c r="G1928" s="57">
        <f t="shared" ref="G1928:G1930" si="750">ROUNDDOWN(E1928*1.21,0)</f>
        <v>550</v>
      </c>
      <c r="H1928" s="57">
        <f t="shared" ref="H1928:H1930" si="751">ROUNDDOWN(E1928*1.33,0)</f>
        <v>605</v>
      </c>
      <c r="I1928" s="57">
        <f t="shared" ref="I1928:I1930" si="752">ROUNDDOWN(E1928*1.46,0)</f>
        <v>664</v>
      </c>
      <c r="J1928" s="57">
        <f t="shared" ref="J1928:J1930" si="753">ROUNDDOWN(E1928*1.6,0)</f>
        <v>728</v>
      </c>
      <c r="K1928" s="63">
        <f t="shared" ref="K1928:K1930" si="754">ROUNDDOWN(E1928*1.76,0)</f>
        <v>800</v>
      </c>
      <c r="L1928" s="57">
        <f t="shared" ref="L1928:L1930" si="755">ROUNDDOWN(E1928*1.93,0)</f>
        <v>878</v>
      </c>
      <c r="M1928" s="57">
        <f t="shared" ref="M1928:M1930" si="756">ROUNDDOWN(E1928*2.12,0)</f>
        <v>964</v>
      </c>
      <c r="N1928" s="57">
        <f t="shared" ref="N1928:N1930" si="757">ROUNDDOWN(E1928*2.33,0)</f>
        <v>1060</v>
      </c>
      <c r="O1928" s="57">
        <f t="shared" ref="O1928:O1930" si="758">ROUNDDOWN(E1928*2.56,0)</f>
        <v>1164</v>
      </c>
      <c r="P1928" s="57">
        <f t="shared" ref="P1928:P1930" si="759">ROUNDDOWN(E1928*2.81,0)</f>
        <v>1278</v>
      </c>
      <c r="Q1928" s="57"/>
    </row>
    <row r="1929">
      <c r="A1929" s="60" t="s">
        <v>962</v>
      </c>
      <c r="B1929" s="60"/>
      <c r="C1929" s="57"/>
      <c r="D1929" s="57"/>
      <c r="E1929" s="65">
        <v>485.0</v>
      </c>
      <c r="F1929" s="57">
        <f t="shared" si="749"/>
        <v>533</v>
      </c>
      <c r="G1929" s="57">
        <f t="shared" si="750"/>
        <v>586</v>
      </c>
      <c r="H1929" s="57">
        <f t="shared" si="751"/>
        <v>645</v>
      </c>
      <c r="I1929" s="57">
        <f t="shared" si="752"/>
        <v>708</v>
      </c>
      <c r="J1929" s="57">
        <f t="shared" si="753"/>
        <v>776</v>
      </c>
      <c r="K1929" s="63">
        <f t="shared" si="754"/>
        <v>853</v>
      </c>
      <c r="L1929" s="57">
        <f t="shared" si="755"/>
        <v>936</v>
      </c>
      <c r="M1929" s="57">
        <f t="shared" si="756"/>
        <v>1028</v>
      </c>
      <c r="N1929" s="57">
        <f t="shared" si="757"/>
        <v>1130</v>
      </c>
      <c r="O1929" s="57">
        <f t="shared" si="758"/>
        <v>1241</v>
      </c>
      <c r="P1929" s="57">
        <f t="shared" si="759"/>
        <v>1362</v>
      </c>
      <c r="Q1929" s="57"/>
    </row>
    <row r="1930">
      <c r="A1930" s="60" t="s">
        <v>963</v>
      </c>
      <c r="B1930" s="60"/>
      <c r="C1930" s="57"/>
      <c r="D1930" s="57"/>
      <c r="E1930" s="65">
        <v>150.0</v>
      </c>
      <c r="F1930" s="57">
        <f t="shared" si="749"/>
        <v>165</v>
      </c>
      <c r="G1930" s="57">
        <f t="shared" si="750"/>
        <v>181</v>
      </c>
      <c r="H1930" s="57">
        <f t="shared" si="751"/>
        <v>199</v>
      </c>
      <c r="I1930" s="57">
        <f t="shared" si="752"/>
        <v>219</v>
      </c>
      <c r="J1930" s="57">
        <f t="shared" si="753"/>
        <v>240</v>
      </c>
      <c r="K1930" s="63">
        <f t="shared" si="754"/>
        <v>264</v>
      </c>
      <c r="L1930" s="57">
        <f t="shared" si="755"/>
        <v>289</v>
      </c>
      <c r="M1930" s="57">
        <f t="shared" si="756"/>
        <v>318</v>
      </c>
      <c r="N1930" s="57">
        <f t="shared" si="757"/>
        <v>349</v>
      </c>
      <c r="O1930" s="57">
        <f t="shared" si="758"/>
        <v>384</v>
      </c>
      <c r="P1930" s="57">
        <f t="shared" si="759"/>
        <v>421</v>
      </c>
      <c r="Q1930" s="57"/>
    </row>
    <row r="1931">
      <c r="A1931" s="60" t="s">
        <v>55</v>
      </c>
      <c r="B1931" s="60" t="s">
        <v>430</v>
      </c>
      <c r="C1931" s="57"/>
      <c r="D1931" s="57"/>
      <c r="E1931" s="57"/>
      <c r="F1931" s="57"/>
      <c r="G1931" s="57"/>
      <c r="H1931" s="57"/>
      <c r="I1931" s="57"/>
      <c r="J1931" s="57"/>
      <c r="K1931" s="63"/>
      <c r="L1931" s="57"/>
      <c r="M1931" s="57"/>
      <c r="N1931" s="57"/>
      <c r="O1931" s="57"/>
      <c r="P1931" s="57"/>
      <c r="Q1931" s="57"/>
    </row>
    <row r="1932">
      <c r="A1932" s="60" t="s">
        <v>56</v>
      </c>
      <c r="B1932" s="60" t="s">
        <v>964</v>
      </c>
      <c r="C1932" s="57"/>
      <c r="D1932" s="57"/>
      <c r="E1932" s="57"/>
      <c r="F1932" s="57"/>
      <c r="G1932" s="57"/>
      <c r="H1932" s="57"/>
      <c r="I1932" s="57"/>
      <c r="J1932" s="57"/>
      <c r="K1932" s="63"/>
      <c r="L1932" s="57"/>
      <c r="M1932" s="57"/>
      <c r="N1932" s="57"/>
      <c r="O1932" s="57"/>
      <c r="P1932" s="57"/>
      <c r="Q1932" s="57"/>
    </row>
    <row r="1933">
      <c r="A1933" s="60" t="s">
        <v>439</v>
      </c>
      <c r="B1933" s="60" t="s">
        <v>505</v>
      </c>
      <c r="C1933" s="57"/>
      <c r="D1933" s="57"/>
      <c r="E1933" s="57"/>
      <c r="F1933" s="57"/>
      <c r="G1933" s="57"/>
      <c r="H1933" s="57"/>
      <c r="I1933" s="57"/>
      <c r="J1933" s="57"/>
      <c r="K1933" s="63"/>
      <c r="L1933" s="57"/>
      <c r="M1933" s="57"/>
      <c r="N1933" s="57"/>
      <c r="O1933" s="57"/>
      <c r="P1933" s="57"/>
      <c r="Q1933" s="57"/>
    </row>
    <row r="1934">
      <c r="A1934" s="60" t="s">
        <v>511</v>
      </c>
      <c r="B1934" s="60" t="s">
        <v>118</v>
      </c>
      <c r="C1934" s="57"/>
      <c r="D1934" s="57"/>
      <c r="E1934" s="57"/>
      <c r="F1934" s="57"/>
      <c r="G1934" s="57"/>
      <c r="H1934" s="57"/>
      <c r="I1934" s="57"/>
      <c r="J1934" s="57"/>
      <c r="K1934" s="63"/>
      <c r="L1934" s="57"/>
      <c r="M1934" s="57"/>
      <c r="N1934" s="57"/>
      <c r="O1934" s="57"/>
      <c r="P1934" s="57"/>
      <c r="Q1934" s="57"/>
    </row>
    <row r="1935">
      <c r="A1935" s="60" t="s">
        <v>556</v>
      </c>
      <c r="B1935" s="60" t="s">
        <v>433</v>
      </c>
      <c r="C1935" s="57"/>
      <c r="D1935" s="57"/>
      <c r="E1935" s="57"/>
      <c r="F1935" s="57"/>
      <c r="G1935" s="57"/>
      <c r="H1935" s="57"/>
      <c r="I1935" s="57"/>
      <c r="J1935" s="57"/>
      <c r="K1935" s="63"/>
      <c r="L1935" s="57"/>
      <c r="M1935" s="57"/>
      <c r="N1935" s="57"/>
      <c r="O1935" s="57"/>
      <c r="P1935" s="57"/>
      <c r="Q1935" s="57"/>
    </row>
    <row r="1936">
      <c r="A1936" s="60" t="s">
        <v>965</v>
      </c>
      <c r="B1936" s="60" t="s">
        <v>429</v>
      </c>
      <c r="C1936" s="57"/>
      <c r="D1936" s="57"/>
      <c r="E1936" s="57"/>
      <c r="F1936" s="57"/>
      <c r="G1936" s="57"/>
      <c r="H1936" s="57"/>
      <c r="I1936" s="57"/>
      <c r="J1936" s="57"/>
      <c r="K1936" s="63"/>
      <c r="L1936" s="57"/>
      <c r="M1936" s="57"/>
      <c r="N1936" s="57"/>
      <c r="O1936" s="57"/>
      <c r="P1936" s="57"/>
      <c r="Q1936" s="57"/>
    </row>
    <row r="1937">
      <c r="A1937" s="60" t="s">
        <v>966</v>
      </c>
      <c r="B1937" s="60" t="s">
        <v>430</v>
      </c>
      <c r="C1937" s="57"/>
      <c r="D1937" s="57"/>
      <c r="E1937" s="57"/>
      <c r="F1937" s="57"/>
      <c r="G1937" s="57"/>
      <c r="H1937" s="57"/>
      <c r="I1937" s="57"/>
      <c r="J1937" s="57"/>
      <c r="K1937" s="63"/>
      <c r="L1937" s="57"/>
      <c r="M1937" s="57"/>
      <c r="N1937" s="57"/>
      <c r="O1937" s="57"/>
      <c r="P1937" s="57"/>
      <c r="Q1937" s="57"/>
    </row>
    <row r="1938">
      <c r="A1938" s="60" t="s">
        <v>967</v>
      </c>
      <c r="B1938" s="60" t="s">
        <v>431</v>
      </c>
      <c r="C1938" s="57"/>
      <c r="D1938" s="57"/>
      <c r="E1938" s="57"/>
      <c r="F1938" s="57"/>
      <c r="G1938" s="57"/>
      <c r="H1938" s="57"/>
      <c r="I1938" s="57"/>
      <c r="J1938" s="57"/>
      <c r="K1938" s="63"/>
      <c r="L1938" s="57"/>
      <c r="M1938" s="57"/>
      <c r="N1938" s="57"/>
      <c r="O1938" s="57"/>
      <c r="P1938" s="57"/>
      <c r="Q1938" s="57"/>
    </row>
    <row r="1939">
      <c r="A1939" s="60" t="s">
        <v>968</v>
      </c>
      <c r="B1939" s="60" t="s">
        <v>453</v>
      </c>
      <c r="C1939" s="57"/>
      <c r="D1939" s="57"/>
      <c r="E1939" s="57"/>
      <c r="F1939" s="57"/>
      <c r="G1939" s="57"/>
      <c r="H1939" s="57"/>
      <c r="I1939" s="57"/>
      <c r="J1939" s="57"/>
      <c r="K1939" s="63"/>
      <c r="L1939" s="57"/>
      <c r="M1939" s="57"/>
      <c r="N1939" s="57"/>
      <c r="O1939" s="57"/>
      <c r="P1939" s="57"/>
      <c r="Q1939" s="57"/>
    </row>
    <row r="1940">
      <c r="A1940" s="60" t="s">
        <v>969</v>
      </c>
      <c r="B1940" s="60" t="s">
        <v>493</v>
      </c>
      <c r="C1940" s="57"/>
      <c r="D1940" s="57"/>
      <c r="E1940" s="57"/>
      <c r="F1940" s="57"/>
      <c r="G1940" s="57"/>
      <c r="H1940" s="57"/>
      <c r="I1940" s="57"/>
      <c r="J1940" s="57"/>
      <c r="K1940" s="63"/>
      <c r="L1940" s="57"/>
      <c r="M1940" s="57"/>
      <c r="N1940" s="57"/>
      <c r="O1940" s="57"/>
      <c r="P1940" s="57"/>
      <c r="Q1940" s="57"/>
    </row>
    <row r="1941">
      <c r="A1941" s="60" t="s">
        <v>970</v>
      </c>
      <c r="B1941" s="60" t="s">
        <v>464</v>
      </c>
      <c r="C1941" s="57"/>
      <c r="D1941" s="57"/>
      <c r="E1941" s="57"/>
      <c r="F1941" s="57"/>
      <c r="G1941" s="57"/>
      <c r="H1941" s="57"/>
      <c r="I1941" s="57"/>
      <c r="J1941" s="57"/>
      <c r="K1941" s="63"/>
      <c r="L1941" s="57"/>
      <c r="M1941" s="57"/>
      <c r="N1941" s="57"/>
      <c r="O1941" s="57"/>
      <c r="P1941" s="57"/>
      <c r="Q1941" s="57"/>
    </row>
    <row r="1942">
      <c r="A1942" s="60" t="s">
        <v>971</v>
      </c>
      <c r="B1942" s="60" t="s">
        <v>98</v>
      </c>
      <c r="C1942" s="57"/>
      <c r="D1942" s="57"/>
      <c r="E1942" s="57"/>
      <c r="F1942" s="57"/>
      <c r="G1942" s="57"/>
      <c r="H1942" s="57"/>
      <c r="I1942" s="57"/>
      <c r="J1942" s="57"/>
      <c r="K1942" s="63"/>
      <c r="L1942" s="57"/>
      <c r="M1942" s="57"/>
      <c r="N1942" s="57"/>
      <c r="O1942" s="57"/>
      <c r="P1942" s="57"/>
      <c r="Q1942" s="57"/>
    </row>
    <row r="1943">
      <c r="A1943" s="60" t="s">
        <v>972</v>
      </c>
      <c r="B1943" s="60" t="s">
        <v>436</v>
      </c>
      <c r="C1943" s="57"/>
      <c r="D1943" s="57"/>
      <c r="E1943" s="57"/>
      <c r="F1943" s="57"/>
      <c r="G1943" s="57"/>
      <c r="H1943" s="57"/>
      <c r="I1943" s="57"/>
      <c r="J1943" s="57"/>
      <c r="K1943" s="63"/>
      <c r="L1943" s="57"/>
      <c r="M1943" s="57"/>
      <c r="N1943" s="57"/>
      <c r="O1943" s="57"/>
      <c r="P1943" s="57"/>
      <c r="Q1943" s="57"/>
    </row>
    <row r="1944">
      <c r="A1944" s="60" t="s">
        <v>973</v>
      </c>
      <c r="B1944" s="60" t="s">
        <v>440</v>
      </c>
      <c r="C1944" s="57"/>
      <c r="D1944" s="57"/>
      <c r="E1944" s="57"/>
      <c r="F1944" s="57"/>
      <c r="G1944" s="57"/>
      <c r="H1944" s="57"/>
      <c r="I1944" s="57"/>
      <c r="J1944" s="57"/>
      <c r="K1944" s="63"/>
      <c r="L1944" s="57"/>
      <c r="M1944" s="57"/>
      <c r="N1944" s="57"/>
      <c r="O1944" s="57"/>
      <c r="P1944" s="57"/>
      <c r="Q1944" s="57"/>
    </row>
    <row r="1945">
      <c r="A1945" s="60" t="s">
        <v>974</v>
      </c>
      <c r="B1945" s="60">
        <v>2.0</v>
      </c>
      <c r="C1945" s="57"/>
      <c r="D1945" s="57"/>
      <c r="E1945" s="57"/>
      <c r="F1945" s="57"/>
      <c r="G1945" s="57"/>
      <c r="H1945" s="57"/>
      <c r="I1945" s="57"/>
      <c r="J1945" s="57"/>
      <c r="K1945" s="63"/>
      <c r="L1945" s="57"/>
      <c r="M1945" s="57"/>
      <c r="N1945" s="57"/>
      <c r="O1945" s="57"/>
      <c r="P1945" s="57"/>
      <c r="Q1945" s="57"/>
    </row>
    <row r="1946">
      <c r="A1946" s="60" t="s">
        <v>975</v>
      </c>
      <c r="B1946" s="60" t="s">
        <v>491</v>
      </c>
      <c r="C1946" s="57"/>
      <c r="D1946" s="57"/>
      <c r="E1946" s="57"/>
      <c r="F1946" s="57"/>
      <c r="G1946" s="57"/>
      <c r="H1946" s="57"/>
      <c r="I1946" s="57"/>
      <c r="J1946" s="57"/>
      <c r="K1946" s="63"/>
      <c r="L1946" s="57"/>
      <c r="M1946" s="57"/>
      <c r="N1946" s="57"/>
      <c r="O1946" s="57"/>
      <c r="P1946" s="57"/>
      <c r="Q1946" s="57"/>
    </row>
    <row r="1947">
      <c r="A1947" s="60" t="s">
        <v>976</v>
      </c>
      <c r="B1947" s="60" t="s">
        <v>491</v>
      </c>
      <c r="C1947" s="57"/>
      <c r="D1947" s="57"/>
      <c r="E1947" s="57"/>
      <c r="F1947" s="57"/>
      <c r="G1947" s="57"/>
      <c r="H1947" s="57"/>
      <c r="I1947" s="57"/>
      <c r="J1947" s="57"/>
      <c r="K1947" s="63"/>
      <c r="L1947" s="57"/>
      <c r="M1947" s="57"/>
      <c r="N1947" s="57"/>
      <c r="O1947" s="57"/>
      <c r="P1947" s="57"/>
      <c r="Q1947" s="57"/>
    </row>
    <row r="1948">
      <c r="A1948" s="60" t="s">
        <v>977</v>
      </c>
      <c r="B1948" s="60" t="s">
        <v>448</v>
      </c>
      <c r="C1948" s="57"/>
      <c r="D1948" s="57"/>
      <c r="E1948" s="57"/>
      <c r="F1948" s="57"/>
      <c r="G1948" s="57"/>
      <c r="H1948" s="57"/>
      <c r="I1948" s="57"/>
      <c r="J1948" s="57"/>
      <c r="K1948" s="63"/>
      <c r="L1948" s="57"/>
      <c r="M1948" s="57"/>
      <c r="N1948" s="57"/>
      <c r="O1948" s="57"/>
      <c r="P1948" s="57"/>
      <c r="Q1948" s="57"/>
    </row>
    <row r="1949">
      <c r="A1949" s="60" t="s">
        <v>978</v>
      </c>
      <c r="B1949" s="60" t="s">
        <v>433</v>
      </c>
      <c r="C1949" s="57"/>
      <c r="D1949" s="57"/>
      <c r="E1949" s="57"/>
      <c r="F1949" s="57"/>
      <c r="G1949" s="57"/>
      <c r="H1949" s="57"/>
      <c r="I1949" s="57"/>
      <c r="J1949" s="57"/>
      <c r="K1949" s="63"/>
      <c r="L1949" s="57"/>
      <c r="M1949" s="57"/>
      <c r="N1949" s="57"/>
      <c r="O1949" s="57"/>
      <c r="P1949" s="57"/>
      <c r="Q1949" s="57"/>
    </row>
    <row r="1950">
      <c r="A1950" s="60" t="s">
        <v>979</v>
      </c>
      <c r="B1950" s="60">
        <v>2.0</v>
      </c>
      <c r="C1950" s="57"/>
      <c r="D1950" s="57"/>
      <c r="E1950" s="57"/>
      <c r="F1950" s="57"/>
      <c r="G1950" s="57"/>
      <c r="H1950" s="57"/>
      <c r="I1950" s="57"/>
      <c r="J1950" s="57"/>
      <c r="K1950" s="63"/>
      <c r="L1950" s="57"/>
      <c r="M1950" s="57"/>
      <c r="N1950" s="57"/>
      <c r="O1950" s="57"/>
      <c r="P1950" s="57"/>
      <c r="Q1950" s="57"/>
    </row>
    <row r="1951">
      <c r="A1951" s="68" t="s">
        <v>395</v>
      </c>
      <c r="B1951" s="60" t="s">
        <v>459</v>
      </c>
      <c r="C1951" s="57"/>
      <c r="D1951" s="57"/>
      <c r="E1951" s="57"/>
      <c r="F1951" s="57"/>
      <c r="G1951" s="57"/>
      <c r="H1951" s="57"/>
      <c r="I1951" s="57"/>
      <c r="J1951" s="57"/>
      <c r="K1951" s="63"/>
      <c r="L1951" s="57"/>
      <c r="M1951" s="57"/>
      <c r="N1951" s="57"/>
      <c r="O1951" s="57"/>
      <c r="P1951" s="57"/>
      <c r="Q1951" s="57"/>
    </row>
    <row r="1952">
      <c r="A1952" s="60" t="s">
        <v>38</v>
      </c>
      <c r="B1952" s="60"/>
      <c r="C1952" s="57"/>
      <c r="D1952" s="57"/>
      <c r="E1952" s="65">
        <v>900.0</v>
      </c>
      <c r="F1952" s="57">
        <f t="shared" ref="F1952:F1955" si="760">ROUNDDOWN(E1952*1.1,0)</f>
        <v>990</v>
      </c>
      <c r="G1952" s="57">
        <f t="shared" ref="G1952:G1955" si="761">ROUNDDOWN(E1952*1.21,0)</f>
        <v>1089</v>
      </c>
      <c r="H1952" s="57">
        <f t="shared" ref="H1952:H1955" si="762">ROUNDDOWN(E1952*1.33,0)</f>
        <v>1197</v>
      </c>
      <c r="I1952" s="57">
        <f t="shared" ref="I1952:I1955" si="763">ROUNDDOWN(E1952*1.46,0)</f>
        <v>1314</v>
      </c>
      <c r="J1952" s="57">
        <f t="shared" ref="J1952:J1955" si="764">ROUNDDOWN(E1952*1.6,0)</f>
        <v>1440</v>
      </c>
      <c r="K1952" s="63">
        <f t="shared" ref="K1952:K1955" si="765">ROUNDDOWN(E1952*1.76,0)</f>
        <v>1584</v>
      </c>
      <c r="L1952" s="57">
        <f t="shared" ref="L1952:L1955" si="766">ROUNDDOWN(E1952*1.93,0)</f>
        <v>1737</v>
      </c>
      <c r="M1952" s="57">
        <f t="shared" ref="M1952:M1955" si="767">ROUNDDOWN(E1952*2.12,0)</f>
        <v>1908</v>
      </c>
      <c r="N1952" s="57">
        <f t="shared" ref="N1952:N1955" si="768">ROUNDDOWN(E1952*2.33,0)</f>
        <v>2097</v>
      </c>
      <c r="O1952" s="57">
        <f t="shared" ref="O1952:O1955" si="769">ROUNDDOWN(E1952*2.56,0)</f>
        <v>2304</v>
      </c>
      <c r="P1952" s="57">
        <f t="shared" ref="P1952:P1955" si="770">ROUNDDOWN(E1952*2.81,0)</f>
        <v>2529</v>
      </c>
      <c r="Q1952" s="57"/>
    </row>
    <row r="1953">
      <c r="A1953" s="60" t="s">
        <v>24</v>
      </c>
      <c r="B1953" s="60"/>
      <c r="C1953" s="57"/>
      <c r="D1953" s="57"/>
      <c r="E1953" s="65">
        <v>70.0</v>
      </c>
      <c r="F1953" s="57">
        <f t="shared" si="760"/>
        <v>77</v>
      </c>
      <c r="G1953" s="57">
        <f t="shared" si="761"/>
        <v>84</v>
      </c>
      <c r="H1953" s="57">
        <f t="shared" si="762"/>
        <v>93</v>
      </c>
      <c r="I1953" s="57">
        <f t="shared" si="763"/>
        <v>102</v>
      </c>
      <c r="J1953" s="57">
        <f t="shared" si="764"/>
        <v>112</v>
      </c>
      <c r="K1953" s="63">
        <f t="shared" si="765"/>
        <v>123</v>
      </c>
      <c r="L1953" s="57">
        <f t="shared" si="766"/>
        <v>135</v>
      </c>
      <c r="M1953" s="57">
        <f t="shared" si="767"/>
        <v>148</v>
      </c>
      <c r="N1953" s="57">
        <f t="shared" si="768"/>
        <v>163</v>
      </c>
      <c r="O1953" s="57">
        <f t="shared" si="769"/>
        <v>179</v>
      </c>
      <c r="P1953" s="57">
        <f t="shared" si="770"/>
        <v>196</v>
      </c>
      <c r="Q1953" s="57"/>
    </row>
    <row r="1954">
      <c r="A1954" s="60" t="s">
        <v>980</v>
      </c>
      <c r="B1954" s="60"/>
      <c r="C1954" s="57"/>
      <c r="D1954" s="57"/>
      <c r="E1954" s="65">
        <v>16.0</v>
      </c>
      <c r="F1954" s="57">
        <f t="shared" si="760"/>
        <v>17</v>
      </c>
      <c r="G1954" s="57">
        <f t="shared" si="761"/>
        <v>19</v>
      </c>
      <c r="H1954" s="57">
        <f t="shared" si="762"/>
        <v>21</v>
      </c>
      <c r="I1954" s="57">
        <f t="shared" si="763"/>
        <v>23</v>
      </c>
      <c r="J1954" s="57">
        <f t="shared" si="764"/>
        <v>25</v>
      </c>
      <c r="K1954" s="63">
        <f t="shared" si="765"/>
        <v>28</v>
      </c>
      <c r="L1954" s="57">
        <f t="shared" si="766"/>
        <v>30</v>
      </c>
      <c r="M1954" s="57">
        <f t="shared" si="767"/>
        <v>33</v>
      </c>
      <c r="N1954" s="57">
        <f t="shared" si="768"/>
        <v>37</v>
      </c>
      <c r="O1954" s="57">
        <f t="shared" si="769"/>
        <v>40</v>
      </c>
      <c r="P1954" s="57">
        <f t="shared" si="770"/>
        <v>44</v>
      </c>
      <c r="Q1954" s="57"/>
    </row>
    <row r="1955">
      <c r="A1955" s="60" t="s">
        <v>981</v>
      </c>
      <c r="B1955" s="60"/>
      <c r="C1955" s="57"/>
      <c r="D1955" s="57"/>
      <c r="E1955" s="65">
        <v>48.0</v>
      </c>
      <c r="F1955" s="57">
        <f t="shared" si="760"/>
        <v>52</v>
      </c>
      <c r="G1955" s="57">
        <f t="shared" si="761"/>
        <v>58</v>
      </c>
      <c r="H1955" s="57">
        <f t="shared" si="762"/>
        <v>63</v>
      </c>
      <c r="I1955" s="57">
        <f t="shared" si="763"/>
        <v>70</v>
      </c>
      <c r="J1955" s="57">
        <f t="shared" si="764"/>
        <v>76</v>
      </c>
      <c r="K1955" s="63">
        <f t="shared" si="765"/>
        <v>84</v>
      </c>
      <c r="L1955" s="57">
        <f t="shared" si="766"/>
        <v>92</v>
      </c>
      <c r="M1955" s="57">
        <f t="shared" si="767"/>
        <v>101</v>
      </c>
      <c r="N1955" s="57">
        <f t="shared" si="768"/>
        <v>111</v>
      </c>
      <c r="O1955" s="57">
        <f t="shared" si="769"/>
        <v>122</v>
      </c>
      <c r="P1955" s="57">
        <f t="shared" si="770"/>
        <v>134</v>
      </c>
      <c r="Q1955" s="57"/>
    </row>
    <row r="1956">
      <c r="A1956" s="60" t="s">
        <v>428</v>
      </c>
      <c r="B1956" s="60" t="s">
        <v>429</v>
      </c>
      <c r="C1956" s="57"/>
      <c r="D1956" s="57"/>
      <c r="E1956" s="57"/>
      <c r="F1956" s="57"/>
      <c r="G1956" s="57"/>
      <c r="H1956" s="57"/>
      <c r="I1956" s="57"/>
      <c r="J1956" s="57"/>
      <c r="K1956" s="63"/>
      <c r="L1956" s="57"/>
      <c r="M1956" s="57"/>
      <c r="N1956" s="57"/>
      <c r="O1956" s="57"/>
      <c r="P1956" s="57"/>
      <c r="Q1956" s="57"/>
    </row>
    <row r="1957">
      <c r="A1957" s="60" t="s">
        <v>55</v>
      </c>
      <c r="B1957" s="60" t="s">
        <v>430</v>
      </c>
      <c r="C1957" s="57"/>
      <c r="D1957" s="57"/>
      <c r="E1957" s="57"/>
      <c r="F1957" s="57"/>
      <c r="G1957" s="57"/>
      <c r="H1957" s="57"/>
      <c r="I1957" s="57"/>
      <c r="J1957" s="57"/>
      <c r="K1957" s="63"/>
      <c r="L1957" s="57"/>
      <c r="M1957" s="57"/>
      <c r="N1957" s="57"/>
      <c r="O1957" s="57"/>
      <c r="P1957" s="57"/>
      <c r="Q1957" s="57"/>
    </row>
    <row r="1958">
      <c r="A1958" s="60" t="s">
        <v>51</v>
      </c>
      <c r="B1958" s="60" t="s">
        <v>451</v>
      </c>
      <c r="C1958" s="57"/>
      <c r="D1958" s="57"/>
      <c r="E1958" s="57"/>
      <c r="F1958" s="57"/>
      <c r="G1958" s="57"/>
      <c r="H1958" s="57"/>
      <c r="I1958" s="57"/>
      <c r="J1958" s="57"/>
      <c r="K1958" s="63"/>
      <c r="L1958" s="57"/>
      <c r="M1958" s="57"/>
      <c r="N1958" s="57"/>
      <c r="O1958" s="57"/>
      <c r="P1958" s="57"/>
      <c r="Q1958" s="57"/>
    </row>
    <row r="1959">
      <c r="A1959" s="60" t="s">
        <v>49</v>
      </c>
      <c r="B1959" s="60" t="s">
        <v>471</v>
      </c>
      <c r="C1959" s="57"/>
      <c r="D1959" s="57"/>
      <c r="E1959" s="57"/>
      <c r="F1959" s="57"/>
      <c r="G1959" s="57"/>
      <c r="H1959" s="57"/>
      <c r="I1959" s="57"/>
      <c r="J1959" s="57"/>
      <c r="K1959" s="63"/>
      <c r="L1959" s="57"/>
      <c r="M1959" s="57"/>
      <c r="N1959" s="57"/>
      <c r="O1959" s="57"/>
      <c r="P1959" s="57"/>
      <c r="Q1959" s="57"/>
    </row>
    <row r="1960">
      <c r="A1960" s="60" t="s">
        <v>432</v>
      </c>
      <c r="B1960" s="60" t="s">
        <v>452</v>
      </c>
      <c r="C1960" s="57"/>
      <c r="D1960" s="57"/>
      <c r="E1960" s="57"/>
      <c r="F1960" s="57"/>
      <c r="G1960" s="57"/>
      <c r="H1960" s="57"/>
      <c r="I1960" s="57"/>
      <c r="J1960" s="57"/>
      <c r="K1960" s="63"/>
      <c r="L1960" s="57"/>
      <c r="M1960" s="57"/>
      <c r="N1960" s="57"/>
      <c r="O1960" s="57"/>
      <c r="P1960" s="57"/>
      <c r="Q1960" s="57"/>
    </row>
    <row r="1961">
      <c r="A1961" s="60" t="s">
        <v>53</v>
      </c>
      <c r="B1961" s="60" t="s">
        <v>437</v>
      </c>
      <c r="C1961" s="57"/>
      <c r="D1961" s="57"/>
      <c r="E1961" s="57"/>
      <c r="F1961" s="57"/>
      <c r="G1961" s="57"/>
      <c r="H1961" s="57"/>
      <c r="I1961" s="57"/>
      <c r="J1961" s="57"/>
      <c r="K1961" s="63"/>
      <c r="L1961" s="57"/>
      <c r="M1961" s="57"/>
      <c r="N1961" s="57"/>
      <c r="O1961" s="57"/>
      <c r="P1961" s="57"/>
      <c r="Q1961" s="57"/>
    </row>
    <row r="1962">
      <c r="A1962" s="60" t="s">
        <v>50</v>
      </c>
      <c r="B1962" s="60" t="s">
        <v>98</v>
      </c>
      <c r="C1962" s="57"/>
      <c r="D1962" s="57"/>
      <c r="E1962" s="57"/>
      <c r="F1962" s="57"/>
      <c r="G1962" s="57"/>
      <c r="H1962" s="57"/>
      <c r="I1962" s="57"/>
      <c r="J1962" s="57"/>
      <c r="K1962" s="63"/>
      <c r="L1962" s="57"/>
      <c r="M1962" s="57"/>
      <c r="N1962" s="57"/>
      <c r="O1962" s="57"/>
      <c r="P1962" s="57"/>
      <c r="Q1962" s="57"/>
    </row>
    <row r="1963">
      <c r="A1963" s="60" t="s">
        <v>438</v>
      </c>
      <c r="B1963" s="60" t="s">
        <v>436</v>
      </c>
      <c r="C1963" s="57"/>
      <c r="D1963" s="57"/>
      <c r="E1963" s="57"/>
      <c r="F1963" s="57"/>
      <c r="G1963" s="57"/>
      <c r="H1963" s="57"/>
      <c r="I1963" s="57"/>
      <c r="J1963" s="57"/>
      <c r="K1963" s="63"/>
      <c r="L1963" s="57"/>
      <c r="M1963" s="57"/>
      <c r="N1963" s="57"/>
      <c r="O1963" s="57"/>
      <c r="P1963" s="57"/>
      <c r="Q1963" s="57"/>
    </row>
    <row r="1964">
      <c r="A1964" s="60" t="s">
        <v>439</v>
      </c>
      <c r="B1964" s="60" t="s">
        <v>440</v>
      </c>
      <c r="C1964" s="57"/>
      <c r="D1964" s="57"/>
      <c r="E1964" s="57"/>
      <c r="F1964" s="57"/>
      <c r="G1964" s="57"/>
      <c r="H1964" s="57"/>
      <c r="I1964" s="57"/>
      <c r="J1964" s="57"/>
      <c r="K1964" s="63"/>
      <c r="L1964" s="57"/>
      <c r="M1964" s="57"/>
      <c r="N1964" s="57"/>
      <c r="O1964" s="57"/>
      <c r="P1964" s="57"/>
      <c r="Q1964" s="57"/>
    </row>
    <row r="1965">
      <c r="A1965" s="60" t="s">
        <v>441</v>
      </c>
      <c r="B1965" s="60">
        <v>6.0</v>
      </c>
      <c r="C1965" s="57"/>
      <c r="D1965" s="57"/>
      <c r="E1965" s="57"/>
      <c r="F1965" s="57"/>
      <c r="G1965" s="57"/>
      <c r="H1965" s="57"/>
      <c r="I1965" s="57"/>
      <c r="J1965" s="57"/>
      <c r="K1965" s="63"/>
      <c r="L1965" s="57"/>
      <c r="M1965" s="57"/>
      <c r="N1965" s="57"/>
      <c r="O1965" s="57"/>
      <c r="P1965" s="57"/>
      <c r="Q1965" s="57"/>
    </row>
    <row r="1966">
      <c r="A1966" s="60" t="s">
        <v>982</v>
      </c>
      <c r="B1966" s="60" t="s">
        <v>436</v>
      </c>
      <c r="C1966" s="57"/>
      <c r="D1966" s="57"/>
      <c r="E1966" s="57"/>
      <c r="F1966" s="57"/>
      <c r="G1966" s="57"/>
      <c r="H1966" s="57"/>
      <c r="I1966" s="57"/>
      <c r="J1966" s="57"/>
      <c r="K1966" s="63"/>
      <c r="L1966" s="57"/>
      <c r="M1966" s="57"/>
      <c r="N1966" s="57"/>
      <c r="O1966" s="57"/>
      <c r="P1966" s="57"/>
      <c r="Q1966" s="57"/>
    </row>
    <row r="1967">
      <c r="A1967" s="60" t="s">
        <v>444</v>
      </c>
      <c r="B1967" s="60" t="s">
        <v>445</v>
      </c>
      <c r="C1967" s="57"/>
      <c r="D1967" s="57"/>
      <c r="E1967" s="57"/>
      <c r="F1967" s="57"/>
      <c r="G1967" s="57"/>
      <c r="H1967" s="57"/>
      <c r="I1967" s="57"/>
      <c r="J1967" s="57"/>
      <c r="K1967" s="63"/>
      <c r="L1967" s="57"/>
      <c r="M1967" s="57"/>
      <c r="N1967" s="57"/>
      <c r="O1967" s="57"/>
      <c r="P1967" s="57"/>
      <c r="Q1967" s="57"/>
    </row>
    <row r="1968">
      <c r="A1968" s="60" t="s">
        <v>446</v>
      </c>
      <c r="B1968" s="60" t="s">
        <v>445</v>
      </c>
      <c r="C1968" s="57"/>
      <c r="D1968" s="57"/>
      <c r="E1968" s="57"/>
      <c r="F1968" s="57"/>
      <c r="G1968" s="57"/>
      <c r="H1968" s="57"/>
      <c r="I1968" s="57"/>
      <c r="J1968" s="57"/>
      <c r="K1968" s="63"/>
      <c r="L1968" s="57"/>
      <c r="M1968" s="57"/>
      <c r="N1968" s="57"/>
      <c r="O1968" s="57"/>
      <c r="P1968" s="57"/>
      <c r="Q1968" s="57"/>
    </row>
    <row r="1969">
      <c r="A1969" s="60" t="s">
        <v>983</v>
      </c>
      <c r="B1969" s="60" t="s">
        <v>433</v>
      </c>
      <c r="C1969" s="57"/>
      <c r="D1969" s="57"/>
      <c r="E1969" s="57"/>
      <c r="F1969" s="57"/>
      <c r="G1969" s="57"/>
      <c r="H1969" s="57"/>
      <c r="I1969" s="57"/>
      <c r="J1969" s="57"/>
      <c r="K1969" s="63"/>
      <c r="L1969" s="57"/>
      <c r="M1969" s="57"/>
      <c r="N1969" s="57"/>
      <c r="O1969" s="57"/>
      <c r="P1969" s="57"/>
      <c r="Q1969" s="57"/>
    </row>
    <row r="1970">
      <c r="A1970" s="60" t="s">
        <v>984</v>
      </c>
      <c r="B1970" s="60" t="s">
        <v>655</v>
      </c>
      <c r="C1970" s="57"/>
      <c r="D1970" s="57"/>
      <c r="E1970" s="57"/>
      <c r="F1970" s="57"/>
      <c r="G1970" s="57"/>
      <c r="H1970" s="57"/>
      <c r="I1970" s="57"/>
      <c r="J1970" s="57"/>
      <c r="K1970" s="63"/>
      <c r="L1970" s="57"/>
      <c r="M1970" s="57"/>
      <c r="N1970" s="57"/>
      <c r="O1970" s="57"/>
      <c r="P1970" s="57"/>
      <c r="Q1970" s="57"/>
    </row>
    <row r="1971">
      <c r="A1971" s="60" t="s">
        <v>985</v>
      </c>
      <c r="B1971" s="60" t="s">
        <v>554</v>
      </c>
      <c r="C1971" s="57"/>
      <c r="D1971" s="57"/>
      <c r="E1971" s="57"/>
      <c r="F1971" s="57"/>
      <c r="G1971" s="57"/>
      <c r="H1971" s="57"/>
      <c r="I1971" s="57"/>
      <c r="J1971" s="57"/>
      <c r="K1971" s="63"/>
      <c r="L1971" s="57"/>
      <c r="M1971" s="57"/>
      <c r="N1971" s="57"/>
      <c r="O1971" s="57"/>
      <c r="P1971" s="57"/>
      <c r="Q1971" s="57"/>
    </row>
    <row r="1972">
      <c r="A1972" s="60" t="s">
        <v>986</v>
      </c>
      <c r="B1972" s="60" t="s">
        <v>424</v>
      </c>
      <c r="C1972" s="57"/>
      <c r="D1972" s="57"/>
      <c r="E1972" s="57"/>
      <c r="F1972" s="57"/>
      <c r="G1972" s="57"/>
      <c r="H1972" s="57"/>
      <c r="I1972" s="57"/>
      <c r="J1972" s="57"/>
      <c r="K1972" s="63"/>
      <c r="L1972" s="57"/>
      <c r="M1972" s="57"/>
      <c r="N1972" s="57"/>
      <c r="O1972" s="57"/>
      <c r="P1972" s="57"/>
      <c r="Q1972" s="57"/>
    </row>
    <row r="1973">
      <c r="A1973" s="60" t="s">
        <v>987</v>
      </c>
      <c r="B1973" s="60" t="s">
        <v>843</v>
      </c>
      <c r="C1973" s="57"/>
      <c r="D1973" s="57"/>
      <c r="E1973" s="57"/>
      <c r="F1973" s="57"/>
      <c r="G1973" s="57"/>
      <c r="H1973" s="57"/>
      <c r="I1973" s="57"/>
      <c r="J1973" s="57"/>
      <c r="K1973" s="63"/>
      <c r="L1973" s="57"/>
      <c r="M1973" s="57"/>
      <c r="N1973" s="57"/>
      <c r="O1973" s="57"/>
      <c r="P1973" s="57"/>
      <c r="Q1973" s="57"/>
    </row>
    <row r="1974">
      <c r="A1974" s="60" t="s">
        <v>988</v>
      </c>
      <c r="B1974" s="60" t="s">
        <v>430</v>
      </c>
      <c r="C1974" s="57"/>
      <c r="D1974" s="57"/>
      <c r="E1974" s="57"/>
      <c r="F1974" s="57"/>
      <c r="G1974" s="57"/>
      <c r="H1974" s="57"/>
      <c r="I1974" s="57"/>
      <c r="J1974" s="57"/>
      <c r="K1974" s="63"/>
      <c r="L1974" s="57"/>
      <c r="M1974" s="57"/>
      <c r="N1974" s="57"/>
      <c r="O1974" s="57"/>
      <c r="P1974" s="57"/>
      <c r="Q1974" s="57"/>
    </row>
    <row r="1975">
      <c r="A1975" s="60" t="s">
        <v>989</v>
      </c>
      <c r="B1975" s="60" t="s">
        <v>845</v>
      </c>
      <c r="C1975" s="57"/>
      <c r="D1975" s="57"/>
      <c r="E1975" s="57"/>
      <c r="F1975" s="57"/>
      <c r="G1975" s="57"/>
      <c r="H1975" s="57"/>
      <c r="I1975" s="57"/>
      <c r="J1975" s="57"/>
      <c r="K1975" s="63"/>
      <c r="L1975" s="57"/>
      <c r="M1975" s="57"/>
      <c r="N1975" s="57"/>
      <c r="O1975" s="57"/>
      <c r="P1975" s="57"/>
      <c r="Q1975" s="57"/>
    </row>
    <row r="1976">
      <c r="A1976" s="76" t="s">
        <v>308</v>
      </c>
      <c r="B1976" s="60" t="s">
        <v>535</v>
      </c>
      <c r="C1976" s="57"/>
      <c r="D1976" s="57"/>
      <c r="E1976" s="57"/>
      <c r="F1976" s="57"/>
      <c r="G1976" s="57"/>
      <c r="H1976" s="57"/>
      <c r="I1976" s="57"/>
      <c r="J1976" s="57"/>
      <c r="K1976" s="63"/>
      <c r="L1976" s="57"/>
      <c r="M1976" s="57"/>
      <c r="N1976" s="57"/>
      <c r="O1976" s="57"/>
      <c r="P1976" s="57"/>
      <c r="Q1976" s="57"/>
    </row>
    <row r="1977">
      <c r="A1977" s="60" t="s">
        <v>70</v>
      </c>
      <c r="B1977" s="26"/>
      <c r="C1977" s="57"/>
      <c r="D1977" s="57"/>
      <c r="E1977" s="57"/>
      <c r="F1977" s="57"/>
      <c r="G1977" s="57"/>
      <c r="H1977" s="65">
        <f t="shared" ref="H1977:O1977" si="771">H$3+1</f>
        <v>7</v>
      </c>
      <c r="I1977" s="65">
        <f t="shared" si="771"/>
        <v>8</v>
      </c>
      <c r="J1977" s="65">
        <f t="shared" si="771"/>
        <v>9</v>
      </c>
      <c r="K1977" s="66">
        <f t="shared" si="771"/>
        <v>10</v>
      </c>
      <c r="L1977" s="65">
        <f t="shared" si="771"/>
        <v>11</v>
      </c>
      <c r="M1977" s="65">
        <f t="shared" si="771"/>
        <v>12</v>
      </c>
      <c r="N1977" s="65">
        <f t="shared" si="771"/>
        <v>13</v>
      </c>
      <c r="O1977" s="65">
        <f t="shared" si="771"/>
        <v>14</v>
      </c>
      <c r="P1977" s="65" t="s">
        <v>990</v>
      </c>
      <c r="Q1977" s="57"/>
    </row>
    <row r="1978">
      <c r="A1978" s="60" t="s">
        <v>71</v>
      </c>
      <c r="B1978" s="26"/>
      <c r="C1978" s="57"/>
      <c r="D1978" s="57"/>
      <c r="E1978" s="57"/>
      <c r="F1978" s="57"/>
      <c r="G1978" s="57"/>
      <c r="H1978" s="65">
        <f t="shared" ref="H1978:O1978" si="772">H$3+1</f>
        <v>7</v>
      </c>
      <c r="I1978" s="65">
        <f t="shared" si="772"/>
        <v>8</v>
      </c>
      <c r="J1978" s="65">
        <f t="shared" si="772"/>
        <v>9</v>
      </c>
      <c r="K1978" s="66">
        <f t="shared" si="772"/>
        <v>10</v>
      </c>
      <c r="L1978" s="65">
        <f t="shared" si="772"/>
        <v>11</v>
      </c>
      <c r="M1978" s="65">
        <f t="shared" si="772"/>
        <v>12</v>
      </c>
      <c r="N1978" s="65">
        <f t="shared" si="772"/>
        <v>13</v>
      </c>
      <c r="O1978" s="65">
        <f t="shared" si="772"/>
        <v>14</v>
      </c>
      <c r="Q1978" s="57"/>
    </row>
    <row r="1979">
      <c r="A1979" s="60" t="s">
        <v>72</v>
      </c>
      <c r="B1979" s="26"/>
      <c r="C1979" s="57"/>
      <c r="D1979" s="57"/>
      <c r="E1979" s="57"/>
      <c r="F1979" s="57"/>
      <c r="G1979" s="57"/>
      <c r="H1979" s="65">
        <f t="shared" ref="H1979:O1979" si="773">H$3+1</f>
        <v>7</v>
      </c>
      <c r="I1979" s="65">
        <f t="shared" si="773"/>
        <v>8</v>
      </c>
      <c r="J1979" s="65">
        <f t="shared" si="773"/>
        <v>9</v>
      </c>
      <c r="K1979" s="66">
        <f t="shared" si="773"/>
        <v>10</v>
      </c>
      <c r="L1979" s="65">
        <f t="shared" si="773"/>
        <v>11</v>
      </c>
      <c r="M1979" s="65">
        <f t="shared" si="773"/>
        <v>12</v>
      </c>
      <c r="N1979" s="65">
        <f t="shared" si="773"/>
        <v>13</v>
      </c>
      <c r="O1979" s="65">
        <f t="shared" si="773"/>
        <v>14</v>
      </c>
      <c r="Q1979" s="57"/>
    </row>
    <row r="1980">
      <c r="A1980" s="60" t="s">
        <v>73</v>
      </c>
      <c r="B1980" s="26"/>
      <c r="C1980" s="57"/>
      <c r="D1980" s="57"/>
      <c r="E1980" s="57"/>
      <c r="F1980" s="57"/>
      <c r="G1980" s="65"/>
      <c r="H1980" s="65">
        <v>9.0</v>
      </c>
      <c r="I1980" s="65">
        <v>9.0</v>
      </c>
      <c r="J1980" s="65">
        <f t="shared" ref="J1980:O1980" si="774">J$3+1</f>
        <v>9</v>
      </c>
      <c r="K1980" s="66">
        <f t="shared" si="774"/>
        <v>10</v>
      </c>
      <c r="L1980" s="65">
        <f t="shared" si="774"/>
        <v>11</v>
      </c>
      <c r="M1980" s="65">
        <f t="shared" si="774"/>
        <v>12</v>
      </c>
      <c r="N1980" s="65">
        <f t="shared" si="774"/>
        <v>13</v>
      </c>
      <c r="O1980" s="65">
        <f t="shared" si="774"/>
        <v>14</v>
      </c>
      <c r="Q1980" s="57"/>
    </row>
    <row r="1981">
      <c r="A1981" s="76" t="s">
        <v>370</v>
      </c>
      <c r="B1981" s="60" t="s">
        <v>468</v>
      </c>
      <c r="C1981" s="57"/>
      <c r="D1981" s="57"/>
      <c r="E1981" s="57"/>
      <c r="F1981" s="57"/>
      <c r="G1981" s="57"/>
      <c r="H1981" s="57"/>
      <c r="I1981" s="57"/>
      <c r="J1981" s="57"/>
      <c r="K1981" s="63"/>
      <c r="L1981" s="57"/>
      <c r="M1981" s="57"/>
      <c r="N1981" s="57"/>
      <c r="O1981" s="57"/>
      <c r="P1981" s="57"/>
      <c r="Q1981" s="57"/>
    </row>
    <row r="1982">
      <c r="A1982" s="60" t="s">
        <v>38</v>
      </c>
      <c r="B1982" s="26"/>
      <c r="C1982" s="57"/>
      <c r="D1982" s="57"/>
      <c r="E1982" s="57"/>
      <c r="F1982" s="57"/>
      <c r="G1982" s="57"/>
      <c r="H1982" s="65">
        <v>760.0</v>
      </c>
      <c r="I1982" s="57">
        <f t="shared" ref="I1982:I1983" si="775">ROUNDDOWN(H1982*1.1,0)</f>
        <v>836</v>
      </c>
      <c r="J1982" s="57">
        <f t="shared" ref="J1982:J1983" si="776">ROUNDDOWN(H1982*1.21,0)</f>
        <v>919</v>
      </c>
      <c r="K1982" s="63">
        <f t="shared" ref="K1982:K1983" si="777">ROUNDDOWN(H1982*1.33,0)</f>
        <v>1010</v>
      </c>
      <c r="L1982" s="57">
        <f t="shared" ref="L1982:L1983" si="778">ROUNDDOWN(H1982*1.46,0)</f>
        <v>1109</v>
      </c>
      <c r="M1982" s="57">
        <f t="shared" ref="M1982:M1983" si="779">ROUNDDOWN(H1982*1.6,0)</f>
        <v>1216</v>
      </c>
      <c r="N1982" s="57">
        <f t="shared" ref="N1982:N1983" si="780">ROUNDDOWN(H1982*1.76,0)</f>
        <v>1337</v>
      </c>
      <c r="O1982" s="57">
        <f t="shared" ref="O1982:O1983" si="781">ROUNDDOWN(H1982*1.93,0)</f>
        <v>1466</v>
      </c>
      <c r="P1982" s="57">
        <f t="shared" ref="P1982:P1983" si="782">ROUNDDOWN(H1982*2.12,0)</f>
        <v>1611</v>
      </c>
      <c r="Q1982" s="57"/>
    </row>
    <row r="1983">
      <c r="A1983" s="60" t="s">
        <v>24</v>
      </c>
      <c r="B1983" s="26"/>
      <c r="C1983" s="57"/>
      <c r="D1983" s="57"/>
      <c r="E1983" s="57"/>
      <c r="F1983" s="57"/>
      <c r="G1983" s="57"/>
      <c r="H1983" s="65">
        <v>106.0</v>
      </c>
      <c r="I1983" s="57">
        <f t="shared" si="775"/>
        <v>116</v>
      </c>
      <c r="J1983" s="57">
        <f t="shared" si="776"/>
        <v>128</v>
      </c>
      <c r="K1983" s="63">
        <f t="shared" si="777"/>
        <v>140</v>
      </c>
      <c r="L1983" s="57">
        <f t="shared" si="778"/>
        <v>154</v>
      </c>
      <c r="M1983" s="57">
        <f t="shared" si="779"/>
        <v>169</v>
      </c>
      <c r="N1983" s="57">
        <f t="shared" si="780"/>
        <v>186</v>
      </c>
      <c r="O1983" s="57">
        <f t="shared" si="781"/>
        <v>204</v>
      </c>
      <c r="P1983" s="57">
        <f t="shared" si="782"/>
        <v>224</v>
      </c>
      <c r="Q1983" s="57"/>
    </row>
    <row r="1984">
      <c r="A1984" s="60" t="s">
        <v>428</v>
      </c>
      <c r="B1984" s="60" t="s">
        <v>429</v>
      </c>
      <c r="C1984" s="57"/>
      <c r="D1984" s="57"/>
      <c r="E1984" s="57"/>
      <c r="F1984" s="57"/>
      <c r="G1984" s="57"/>
      <c r="H1984" s="57"/>
      <c r="I1984" s="57"/>
      <c r="J1984" s="57"/>
      <c r="K1984" s="63"/>
      <c r="L1984" s="57"/>
      <c r="M1984" s="57"/>
      <c r="N1984" s="57"/>
      <c r="O1984" s="57"/>
      <c r="P1984" s="57"/>
      <c r="Q1984" s="57"/>
    </row>
    <row r="1985">
      <c r="A1985" s="60" t="s">
        <v>55</v>
      </c>
      <c r="B1985" s="60" t="s">
        <v>430</v>
      </c>
      <c r="C1985" s="57"/>
      <c r="D1985" s="57"/>
      <c r="E1985" s="57"/>
      <c r="F1985" s="57"/>
      <c r="G1985" s="57"/>
      <c r="H1985" s="57"/>
      <c r="I1985" s="57"/>
      <c r="J1985" s="57"/>
      <c r="K1985" s="63"/>
      <c r="L1985" s="57"/>
      <c r="M1985" s="57"/>
      <c r="N1985" s="57"/>
      <c r="O1985" s="57"/>
      <c r="P1985" s="57"/>
      <c r="Q1985" s="57"/>
    </row>
    <row r="1986">
      <c r="A1986" s="60" t="s">
        <v>51</v>
      </c>
      <c r="B1986" s="60" t="s">
        <v>451</v>
      </c>
      <c r="C1986" s="57"/>
      <c r="D1986" s="57"/>
      <c r="E1986" s="57"/>
      <c r="F1986" s="57"/>
      <c r="G1986" s="57"/>
      <c r="H1986" s="57"/>
      <c r="I1986" s="57"/>
      <c r="J1986" s="57"/>
      <c r="K1986" s="63"/>
      <c r="L1986" s="57"/>
      <c r="M1986" s="57"/>
      <c r="N1986" s="57"/>
      <c r="O1986" s="57"/>
      <c r="P1986" s="57"/>
      <c r="Q1986" s="57"/>
    </row>
    <row r="1987">
      <c r="A1987" s="60" t="s">
        <v>49</v>
      </c>
      <c r="B1987" s="60" t="s">
        <v>493</v>
      </c>
      <c r="C1987" s="57"/>
      <c r="D1987" s="57"/>
      <c r="E1987" s="57"/>
      <c r="F1987" s="57"/>
      <c r="G1987" s="57"/>
      <c r="H1987" s="57"/>
      <c r="I1987" s="57"/>
      <c r="J1987" s="57"/>
      <c r="K1987" s="63"/>
      <c r="L1987" s="57"/>
      <c r="M1987" s="57"/>
      <c r="N1987" s="57"/>
      <c r="O1987" s="57"/>
      <c r="P1987" s="57"/>
      <c r="Q1987" s="57"/>
    </row>
    <row r="1988">
      <c r="A1988" s="60" t="s">
        <v>432</v>
      </c>
      <c r="B1988" s="60" t="s">
        <v>448</v>
      </c>
      <c r="C1988" s="57"/>
      <c r="D1988" s="57"/>
      <c r="E1988" s="57"/>
      <c r="F1988" s="57"/>
      <c r="G1988" s="57"/>
      <c r="H1988" s="57"/>
      <c r="I1988" s="57"/>
      <c r="J1988" s="57"/>
      <c r="K1988" s="63"/>
      <c r="L1988" s="57"/>
      <c r="M1988" s="57"/>
      <c r="N1988" s="57"/>
      <c r="O1988" s="57"/>
      <c r="P1988" s="57"/>
      <c r="Q1988" s="57"/>
    </row>
    <row r="1989">
      <c r="A1989" s="60" t="s">
        <v>422</v>
      </c>
      <c r="B1989" s="60" t="s">
        <v>522</v>
      </c>
      <c r="C1989" s="57"/>
      <c r="D1989" s="57"/>
      <c r="E1989" s="57"/>
      <c r="F1989" s="57"/>
      <c r="G1989" s="57"/>
      <c r="H1989" s="57"/>
      <c r="I1989" s="57"/>
      <c r="J1989" s="57"/>
      <c r="K1989" s="63"/>
      <c r="L1989" s="57"/>
      <c r="M1989" s="57"/>
      <c r="N1989" s="57"/>
      <c r="O1989" s="57"/>
      <c r="P1989" s="57"/>
      <c r="Q1989" s="57"/>
    </row>
    <row r="1990">
      <c r="A1990" s="60" t="s">
        <v>435</v>
      </c>
      <c r="B1990" s="60" t="s">
        <v>472</v>
      </c>
      <c r="C1990" s="57"/>
      <c r="D1990" s="57"/>
      <c r="E1990" s="57"/>
      <c r="F1990" s="57"/>
      <c r="G1990" s="57"/>
      <c r="H1990" s="57"/>
      <c r="I1990" s="57"/>
      <c r="J1990" s="57"/>
      <c r="K1990" s="63"/>
      <c r="L1990" s="57"/>
      <c r="M1990" s="57"/>
      <c r="N1990" s="57"/>
      <c r="O1990" s="57"/>
      <c r="P1990" s="57"/>
      <c r="Q1990" s="57"/>
    </row>
    <row r="1991">
      <c r="A1991" s="60" t="s">
        <v>483</v>
      </c>
      <c r="B1991" s="60" t="s">
        <v>505</v>
      </c>
      <c r="C1991" s="57"/>
      <c r="D1991" s="57"/>
      <c r="E1991" s="57"/>
      <c r="F1991" s="57"/>
      <c r="G1991" s="57"/>
      <c r="H1991" s="57"/>
      <c r="I1991" s="57"/>
      <c r="J1991" s="57"/>
      <c r="K1991" s="63"/>
      <c r="L1991" s="57"/>
      <c r="M1991" s="57"/>
      <c r="N1991" s="57"/>
      <c r="O1991" s="57"/>
      <c r="P1991" s="57"/>
      <c r="Q1991" s="57"/>
    </row>
    <row r="1992">
      <c r="A1992" s="60" t="s">
        <v>523</v>
      </c>
      <c r="B1992" s="60" t="s">
        <v>505</v>
      </c>
      <c r="C1992" s="57"/>
      <c r="D1992" s="57"/>
      <c r="E1992" s="57"/>
      <c r="F1992" s="57"/>
      <c r="G1992" s="57"/>
      <c r="H1992" s="57"/>
      <c r="I1992" s="57"/>
      <c r="J1992" s="57"/>
      <c r="K1992" s="63"/>
      <c r="L1992" s="57"/>
      <c r="M1992" s="57"/>
      <c r="N1992" s="57"/>
      <c r="O1992" s="57"/>
      <c r="P1992" s="57"/>
      <c r="Q1992" s="57"/>
    </row>
    <row r="1993">
      <c r="A1993" s="60" t="s">
        <v>54</v>
      </c>
      <c r="B1993" s="60" t="s">
        <v>525</v>
      </c>
      <c r="C1993" s="57"/>
      <c r="D1993" s="57"/>
      <c r="E1993" s="57"/>
      <c r="F1993" s="57"/>
      <c r="G1993" s="57"/>
      <c r="H1993" s="57"/>
      <c r="I1993" s="57"/>
      <c r="J1993" s="57"/>
      <c r="K1993" s="63"/>
      <c r="L1993" s="57"/>
      <c r="M1993" s="57"/>
      <c r="N1993" s="57"/>
      <c r="O1993" s="57"/>
      <c r="P1993" s="57"/>
      <c r="Q1993" s="57"/>
    </row>
    <row r="1994">
      <c r="A1994" s="60" t="s">
        <v>991</v>
      </c>
      <c r="B1994" s="60" t="s">
        <v>851</v>
      </c>
      <c r="C1994" s="57"/>
      <c r="D1994" s="57"/>
      <c r="E1994" s="57"/>
      <c r="F1994" s="57"/>
      <c r="G1994" s="57"/>
      <c r="H1994" s="57"/>
      <c r="I1994" s="57"/>
      <c r="J1994" s="57"/>
      <c r="K1994" s="63"/>
      <c r="L1994" s="57"/>
      <c r="M1994" s="57"/>
      <c r="N1994" s="57"/>
      <c r="O1994" s="57"/>
      <c r="P1994" s="57"/>
      <c r="Q1994" s="57"/>
    </row>
    <row r="1995">
      <c r="A1995" s="60" t="s">
        <v>526</v>
      </c>
      <c r="B1995" s="60" t="s">
        <v>498</v>
      </c>
      <c r="C1995" s="57"/>
      <c r="D1995" s="57"/>
      <c r="E1995" s="57"/>
      <c r="F1995" s="57"/>
      <c r="G1995" s="57"/>
      <c r="H1995" s="57"/>
      <c r="I1995" s="57"/>
      <c r="J1995" s="57"/>
      <c r="K1995" s="63"/>
      <c r="L1995" s="57"/>
      <c r="M1995" s="57"/>
      <c r="N1995" s="57"/>
      <c r="O1995" s="57"/>
      <c r="P1995" s="57"/>
      <c r="Q1995" s="57"/>
    </row>
    <row r="1996">
      <c r="A1996" s="60" t="s">
        <v>992</v>
      </c>
      <c r="B1996" s="60" t="s">
        <v>471</v>
      </c>
      <c r="C1996" s="57"/>
      <c r="D1996" s="57"/>
      <c r="E1996" s="57"/>
      <c r="F1996" s="57"/>
      <c r="G1996" s="57"/>
      <c r="H1996" s="57"/>
      <c r="I1996" s="57"/>
      <c r="J1996" s="57"/>
      <c r="K1996" s="63"/>
      <c r="L1996" s="57"/>
      <c r="M1996" s="57"/>
      <c r="N1996" s="57"/>
      <c r="O1996" s="57"/>
      <c r="P1996" s="57"/>
      <c r="Q1996" s="57"/>
    </row>
    <row r="1997">
      <c r="A1997" s="60" t="s">
        <v>53</v>
      </c>
      <c r="B1997" s="60" t="s">
        <v>851</v>
      </c>
      <c r="C1997" s="57"/>
      <c r="D1997" s="57"/>
      <c r="E1997" s="57"/>
      <c r="F1997" s="57"/>
      <c r="G1997" s="57"/>
      <c r="H1997" s="57"/>
      <c r="I1997" s="57"/>
      <c r="J1997" s="57"/>
      <c r="K1997" s="63"/>
      <c r="L1997" s="57"/>
      <c r="M1997" s="57"/>
      <c r="N1997" s="57"/>
      <c r="O1997" s="57"/>
      <c r="P1997" s="57"/>
      <c r="Q1997" s="57"/>
    </row>
    <row r="1998">
      <c r="A1998" s="60" t="s">
        <v>50</v>
      </c>
      <c r="B1998" s="60" t="s">
        <v>425</v>
      </c>
      <c r="C1998" s="57"/>
      <c r="D1998" s="57"/>
      <c r="E1998" s="57"/>
      <c r="F1998" s="57"/>
      <c r="G1998" s="57"/>
      <c r="H1998" s="57"/>
      <c r="I1998" s="57"/>
      <c r="J1998" s="57"/>
      <c r="K1998" s="63"/>
      <c r="L1998" s="57"/>
      <c r="M1998" s="57"/>
      <c r="N1998" s="57"/>
      <c r="O1998" s="57"/>
      <c r="P1998" s="57"/>
      <c r="Q1998" s="57"/>
    </row>
    <row r="1999">
      <c r="A1999" s="60" t="s">
        <v>438</v>
      </c>
      <c r="B1999" s="60" t="s">
        <v>436</v>
      </c>
      <c r="C1999" s="57"/>
      <c r="D1999" s="57"/>
      <c r="E1999" s="57"/>
      <c r="F1999" s="57"/>
      <c r="G1999" s="57"/>
      <c r="H1999" s="57"/>
      <c r="I1999" s="57"/>
      <c r="J1999" s="57"/>
      <c r="K1999" s="63"/>
      <c r="L1999" s="57"/>
      <c r="M1999" s="57"/>
      <c r="N1999" s="57"/>
      <c r="O1999" s="57"/>
      <c r="P1999" s="57"/>
      <c r="Q1999" s="57"/>
    </row>
    <row r="2000">
      <c r="A2000" s="60" t="s">
        <v>439</v>
      </c>
      <c r="B2000" s="60" t="s">
        <v>502</v>
      </c>
      <c r="C2000" s="57"/>
      <c r="D2000" s="57"/>
      <c r="E2000" s="57"/>
      <c r="F2000" s="57"/>
      <c r="G2000" s="57"/>
      <c r="H2000" s="57"/>
      <c r="I2000" s="57"/>
      <c r="J2000" s="57"/>
      <c r="K2000" s="63"/>
      <c r="L2000" s="57"/>
      <c r="M2000" s="57"/>
      <c r="N2000" s="57"/>
      <c r="O2000" s="57"/>
      <c r="P2000" s="57"/>
      <c r="Q2000" s="57"/>
    </row>
    <row r="2001">
      <c r="A2001" s="60" t="s">
        <v>441</v>
      </c>
      <c r="B2001" s="60">
        <v>4.0</v>
      </c>
      <c r="C2001" s="57"/>
      <c r="D2001" s="57"/>
      <c r="E2001" s="57"/>
      <c r="F2001" s="57"/>
      <c r="G2001" s="57"/>
      <c r="H2001" s="57"/>
      <c r="I2001" s="57"/>
      <c r="J2001" s="57"/>
      <c r="K2001" s="63"/>
      <c r="L2001" s="57"/>
      <c r="M2001" s="57"/>
      <c r="N2001" s="57"/>
      <c r="O2001" s="57"/>
      <c r="P2001" s="57"/>
      <c r="Q2001" s="57"/>
    </row>
    <row r="2002">
      <c r="A2002" s="60" t="s">
        <v>444</v>
      </c>
      <c r="B2002" s="60" t="s">
        <v>502</v>
      </c>
      <c r="C2002" s="57"/>
      <c r="D2002" s="57"/>
      <c r="E2002" s="57"/>
      <c r="F2002" s="57"/>
      <c r="G2002" s="57"/>
      <c r="H2002" s="57"/>
      <c r="I2002" s="57"/>
      <c r="J2002" s="57"/>
      <c r="K2002" s="63"/>
      <c r="L2002" s="57"/>
      <c r="M2002" s="57"/>
      <c r="N2002" s="57"/>
      <c r="O2002" s="57"/>
      <c r="P2002" s="57"/>
      <c r="Q2002" s="57"/>
    </row>
    <row r="2003">
      <c r="A2003" s="60" t="s">
        <v>446</v>
      </c>
      <c r="B2003" s="60" t="s">
        <v>502</v>
      </c>
      <c r="C2003" s="57"/>
      <c r="D2003" s="57"/>
      <c r="E2003" s="57"/>
      <c r="F2003" s="57"/>
      <c r="G2003" s="57"/>
      <c r="H2003" s="57"/>
      <c r="I2003" s="57"/>
      <c r="J2003" s="57"/>
      <c r="K2003" s="63"/>
      <c r="L2003" s="57"/>
      <c r="M2003" s="57"/>
      <c r="N2003" s="57"/>
      <c r="O2003" s="57"/>
      <c r="P2003" s="57"/>
      <c r="Q2003" s="57"/>
    </row>
    <row r="2004">
      <c r="A2004" s="60" t="s">
        <v>447</v>
      </c>
      <c r="B2004" s="60" t="s">
        <v>448</v>
      </c>
      <c r="C2004" s="57"/>
      <c r="D2004" s="57"/>
      <c r="E2004" s="57"/>
      <c r="F2004" s="57"/>
      <c r="G2004" s="57"/>
      <c r="H2004" s="57"/>
      <c r="I2004" s="57"/>
      <c r="J2004" s="57"/>
      <c r="K2004" s="63"/>
      <c r="L2004" s="57"/>
      <c r="M2004" s="57"/>
      <c r="N2004" s="57"/>
      <c r="O2004" s="57"/>
      <c r="P2004" s="57"/>
      <c r="Q2004" s="57"/>
    </row>
    <row r="2005">
      <c r="A2005" s="83" t="s">
        <v>311</v>
      </c>
      <c r="B2005" s="60" t="s">
        <v>468</v>
      </c>
      <c r="C2005" s="57"/>
      <c r="D2005" s="57"/>
      <c r="E2005" s="57"/>
      <c r="F2005" s="57"/>
      <c r="G2005" s="57"/>
      <c r="H2005" s="57"/>
      <c r="I2005" s="57"/>
      <c r="J2005" s="57"/>
      <c r="K2005" s="63"/>
      <c r="L2005" s="57"/>
      <c r="M2005" s="57"/>
      <c r="N2005" s="57"/>
      <c r="O2005" s="57"/>
      <c r="P2005" s="57"/>
      <c r="Q2005" s="57"/>
    </row>
    <row r="2006">
      <c r="A2006" s="60" t="s">
        <v>503</v>
      </c>
      <c r="B2006" s="26"/>
      <c r="C2006" s="57"/>
      <c r="D2006" s="57"/>
      <c r="E2006" s="57"/>
      <c r="F2006" s="57"/>
      <c r="G2006" s="57"/>
      <c r="H2006" s="57"/>
      <c r="I2006" s="57"/>
      <c r="J2006" s="57"/>
      <c r="K2006" s="66">
        <f t="shared" ref="K2006:P2006" si="783">K$3</f>
        <v>9</v>
      </c>
      <c r="L2006" s="65">
        <f t="shared" si="783"/>
        <v>10</v>
      </c>
      <c r="M2006" s="65">
        <f t="shared" si="783"/>
        <v>11</v>
      </c>
      <c r="N2006" s="65">
        <f t="shared" si="783"/>
        <v>12</v>
      </c>
      <c r="O2006" s="65">
        <f t="shared" si="783"/>
        <v>13</v>
      </c>
      <c r="P2006" s="65">
        <f t="shared" si="783"/>
        <v>14</v>
      </c>
      <c r="Q2006" s="57"/>
    </row>
    <row r="2007">
      <c r="A2007" s="60" t="s">
        <v>62</v>
      </c>
      <c r="B2007" s="60" t="s">
        <v>724</v>
      </c>
      <c r="C2007" s="57"/>
      <c r="D2007" s="57"/>
      <c r="E2007" s="57"/>
      <c r="F2007" s="57"/>
      <c r="G2007" s="57"/>
      <c r="H2007" s="57"/>
      <c r="I2007" s="57"/>
      <c r="J2007" s="57"/>
      <c r="K2007" s="63"/>
      <c r="L2007" s="57"/>
      <c r="M2007" s="57"/>
      <c r="N2007" s="57"/>
      <c r="O2007" s="57"/>
      <c r="P2007" s="57"/>
      <c r="Q2007" s="57"/>
    </row>
    <row r="2008">
      <c r="A2008" s="60" t="s">
        <v>80</v>
      </c>
      <c r="B2008" s="60" t="s">
        <v>424</v>
      </c>
      <c r="C2008" s="57"/>
      <c r="D2008" s="57"/>
      <c r="E2008" s="57"/>
      <c r="F2008" s="57"/>
      <c r="G2008" s="57"/>
      <c r="H2008" s="57"/>
      <c r="I2008" s="57"/>
      <c r="J2008" s="57"/>
      <c r="K2008" s="63"/>
      <c r="L2008" s="57"/>
      <c r="M2008" s="57"/>
      <c r="N2008" s="57"/>
      <c r="O2008" s="57"/>
      <c r="P2008" s="57"/>
      <c r="Q2008" s="57"/>
    </row>
    <row r="2009">
      <c r="A2009" s="60" t="s">
        <v>508</v>
      </c>
      <c r="B2009" s="60" t="s">
        <v>538</v>
      </c>
      <c r="C2009" s="57"/>
      <c r="D2009" s="57"/>
      <c r="E2009" s="57"/>
      <c r="F2009" s="57"/>
      <c r="G2009" s="57"/>
      <c r="H2009" s="57"/>
      <c r="I2009" s="57"/>
      <c r="J2009" s="57"/>
      <c r="K2009" s="63"/>
      <c r="L2009" s="57"/>
      <c r="M2009" s="57"/>
      <c r="N2009" s="57"/>
      <c r="O2009" s="57"/>
      <c r="P2009" s="57"/>
      <c r="Q2009" s="57"/>
    </row>
    <row r="2010">
      <c r="A2010" s="60" t="s">
        <v>552</v>
      </c>
      <c r="B2010" s="60" t="s">
        <v>433</v>
      </c>
      <c r="C2010" s="57"/>
      <c r="D2010" s="57"/>
      <c r="E2010" s="57"/>
      <c r="F2010" s="57"/>
      <c r="G2010" s="57"/>
      <c r="H2010" s="57"/>
      <c r="I2010" s="57"/>
      <c r="J2010" s="57"/>
      <c r="K2010" s="63"/>
      <c r="L2010" s="57"/>
      <c r="M2010" s="57"/>
      <c r="N2010" s="57"/>
      <c r="O2010" s="57"/>
      <c r="P2010" s="57"/>
      <c r="Q2010" s="57"/>
    </row>
    <row r="2011">
      <c r="A2011" s="60" t="s">
        <v>519</v>
      </c>
      <c r="B2011" s="60" t="s">
        <v>448</v>
      </c>
      <c r="C2011" s="57"/>
      <c r="D2011" s="57"/>
      <c r="E2011" s="57"/>
      <c r="F2011" s="57"/>
      <c r="G2011" s="57"/>
      <c r="H2011" s="57"/>
      <c r="I2011" s="57"/>
      <c r="J2011" s="57"/>
      <c r="K2011" s="63"/>
      <c r="L2011" s="57"/>
      <c r="M2011" s="57"/>
      <c r="N2011" s="57"/>
      <c r="O2011" s="57"/>
      <c r="P2011" s="57"/>
      <c r="Q2011" s="57"/>
    </row>
    <row r="2012">
      <c r="A2012" s="60" t="s">
        <v>993</v>
      </c>
      <c r="B2012" s="60" t="s">
        <v>521</v>
      </c>
      <c r="C2012" s="57"/>
      <c r="D2012" s="57"/>
      <c r="E2012" s="57"/>
      <c r="F2012" s="57"/>
      <c r="G2012" s="57"/>
      <c r="H2012" s="57"/>
      <c r="I2012" s="57"/>
      <c r="J2012" s="57"/>
      <c r="K2012" s="63"/>
      <c r="L2012" s="57"/>
      <c r="M2012" s="57"/>
      <c r="N2012" s="57"/>
      <c r="O2012" s="57"/>
      <c r="P2012" s="57"/>
      <c r="Q2012" s="57"/>
    </row>
    <row r="2013">
      <c r="A2013" s="60" t="s">
        <v>994</v>
      </c>
      <c r="B2013" s="60" t="s">
        <v>498</v>
      </c>
      <c r="C2013" s="57"/>
      <c r="D2013" s="57"/>
      <c r="E2013" s="57"/>
      <c r="F2013" s="57"/>
      <c r="G2013" s="57"/>
      <c r="H2013" s="57"/>
      <c r="I2013" s="57"/>
      <c r="J2013" s="57"/>
      <c r="K2013" s="63"/>
      <c r="L2013" s="57"/>
      <c r="M2013" s="57"/>
      <c r="N2013" s="57"/>
      <c r="O2013" s="57"/>
      <c r="P2013" s="57"/>
      <c r="Q2013" s="57"/>
    </row>
    <row r="2014">
      <c r="A2014" s="83" t="s">
        <v>313</v>
      </c>
      <c r="B2014" s="60" t="s">
        <v>416</v>
      </c>
      <c r="C2014" s="57"/>
      <c r="D2014" s="57"/>
      <c r="E2014" s="57"/>
      <c r="F2014" s="57"/>
      <c r="G2014" s="57"/>
      <c r="H2014" s="57"/>
      <c r="I2014" s="57"/>
      <c r="J2014" s="57"/>
      <c r="K2014" s="63"/>
      <c r="L2014" s="57"/>
      <c r="M2014" s="57"/>
      <c r="N2014" s="57"/>
      <c r="O2014" s="57"/>
      <c r="P2014" s="57"/>
      <c r="Q2014" s="57"/>
    </row>
    <row r="2015">
      <c r="A2015" s="60" t="s">
        <v>38</v>
      </c>
      <c r="B2015" s="60"/>
      <c r="C2015" s="57"/>
      <c r="D2015" s="57"/>
      <c r="E2015" s="57"/>
      <c r="F2015" s="57"/>
      <c r="G2015" s="57"/>
      <c r="H2015" s="57"/>
      <c r="I2015" s="57"/>
      <c r="J2015" s="57"/>
      <c r="K2015" s="66">
        <v>1000.0</v>
      </c>
      <c r="L2015" s="57">
        <f t="shared" ref="L2015:L2016" si="784">ROUNDDOWN(K2015*1.1,0)</f>
        <v>1100</v>
      </c>
      <c r="M2015" s="57">
        <f t="shared" ref="M2015:M2016" si="785">ROUNDDOWN(K2015*1.21,0)</f>
        <v>1210</v>
      </c>
      <c r="N2015" s="57">
        <f t="shared" ref="N2015:N2016" si="786">ROUNDDOWN(K2015*1.33,0)</f>
        <v>1330</v>
      </c>
      <c r="O2015" s="57">
        <f t="shared" ref="O2015:O2016" si="787">ROUNDDOWN(K2015*1.46,0)</f>
        <v>1460</v>
      </c>
      <c r="P2015" s="57">
        <f t="shared" ref="P2015:P2016" si="788">ROUNDDOWN(K2015*1.57,0)</f>
        <v>1570</v>
      </c>
      <c r="Q2015" s="57"/>
    </row>
    <row r="2016">
      <c r="A2016" s="60" t="s">
        <v>24</v>
      </c>
      <c r="B2016" s="60"/>
      <c r="C2016" s="57"/>
      <c r="D2016" s="57"/>
      <c r="E2016" s="57"/>
      <c r="F2016" s="57"/>
      <c r="G2016" s="57"/>
      <c r="H2016" s="57"/>
      <c r="I2016" s="57"/>
      <c r="J2016" s="57"/>
      <c r="K2016" s="66">
        <v>216.0</v>
      </c>
      <c r="L2016" s="57">
        <f t="shared" si="784"/>
        <v>237</v>
      </c>
      <c r="M2016" s="57">
        <f t="shared" si="785"/>
        <v>261</v>
      </c>
      <c r="N2016" s="57">
        <f t="shared" si="786"/>
        <v>287</v>
      </c>
      <c r="O2016" s="57">
        <f t="shared" si="787"/>
        <v>315</v>
      </c>
      <c r="P2016" s="57">
        <f t="shared" si="788"/>
        <v>339</v>
      </c>
      <c r="Q2016" s="57"/>
    </row>
    <row r="2017">
      <c r="A2017" s="60" t="s">
        <v>428</v>
      </c>
      <c r="B2017" s="60" t="s">
        <v>429</v>
      </c>
      <c r="C2017" s="57"/>
      <c r="D2017" s="57"/>
      <c r="E2017" s="57"/>
      <c r="F2017" s="57"/>
      <c r="G2017" s="57"/>
      <c r="H2017" s="57"/>
      <c r="I2017" s="57"/>
      <c r="J2017" s="57"/>
      <c r="K2017" s="63"/>
      <c r="L2017" s="57"/>
      <c r="M2017" s="57"/>
      <c r="N2017" s="57"/>
      <c r="O2017" s="57"/>
      <c r="P2017" s="57"/>
      <c r="Q2017" s="57"/>
    </row>
    <row r="2018">
      <c r="A2018" s="60" t="s">
        <v>55</v>
      </c>
      <c r="B2018" s="60" t="s">
        <v>430</v>
      </c>
      <c r="C2018" s="57"/>
      <c r="D2018" s="57"/>
      <c r="E2018" s="57"/>
      <c r="F2018" s="57"/>
      <c r="G2018" s="57"/>
      <c r="H2018" s="57"/>
      <c r="I2018" s="57"/>
      <c r="J2018" s="57"/>
      <c r="K2018" s="63"/>
      <c r="L2018" s="57"/>
      <c r="M2018" s="57"/>
      <c r="N2018" s="57"/>
      <c r="O2018" s="57"/>
      <c r="P2018" s="57"/>
      <c r="Q2018" s="57"/>
    </row>
    <row r="2019">
      <c r="A2019" s="60" t="s">
        <v>51</v>
      </c>
      <c r="B2019" s="60" t="s">
        <v>431</v>
      </c>
      <c r="C2019" s="57"/>
      <c r="D2019" s="57"/>
      <c r="E2019" s="57"/>
      <c r="F2019" s="57"/>
      <c r="G2019" s="57"/>
      <c r="H2019" s="57"/>
      <c r="I2019" s="57"/>
      <c r="J2019" s="57"/>
      <c r="K2019" s="63"/>
      <c r="L2019" s="57"/>
      <c r="M2019" s="57"/>
      <c r="N2019" s="57"/>
      <c r="O2019" s="57"/>
      <c r="P2019" s="57"/>
      <c r="Q2019" s="57"/>
    </row>
    <row r="2020">
      <c r="A2020" s="60" t="s">
        <v>49</v>
      </c>
      <c r="B2020" s="60" t="s">
        <v>533</v>
      </c>
      <c r="C2020" s="57"/>
      <c r="D2020" s="57"/>
      <c r="E2020" s="57"/>
      <c r="F2020" s="57"/>
      <c r="G2020" s="57"/>
      <c r="H2020" s="57"/>
      <c r="I2020" s="57"/>
      <c r="J2020" s="57"/>
      <c r="K2020" s="63"/>
      <c r="L2020" s="57"/>
      <c r="M2020" s="57"/>
      <c r="N2020" s="57"/>
      <c r="O2020" s="57"/>
      <c r="P2020" s="57"/>
      <c r="Q2020" s="57"/>
    </row>
    <row r="2021">
      <c r="A2021" s="60" t="s">
        <v>432</v>
      </c>
      <c r="B2021" s="60" t="s">
        <v>452</v>
      </c>
      <c r="C2021" s="57"/>
      <c r="D2021" s="57"/>
      <c r="E2021" s="57"/>
      <c r="F2021" s="57"/>
      <c r="G2021" s="57"/>
      <c r="H2021" s="57"/>
      <c r="I2021" s="57"/>
      <c r="J2021" s="57"/>
      <c r="K2021" s="63"/>
      <c r="L2021" s="57"/>
      <c r="M2021" s="57"/>
      <c r="N2021" s="57"/>
      <c r="O2021" s="57"/>
      <c r="P2021" s="57"/>
      <c r="Q2021" s="57"/>
    </row>
    <row r="2022">
      <c r="A2022" s="60" t="s">
        <v>53</v>
      </c>
      <c r="B2022" s="60" t="s">
        <v>458</v>
      </c>
      <c r="C2022" s="57"/>
      <c r="D2022" s="57"/>
      <c r="E2022" s="57"/>
      <c r="F2022" s="57"/>
      <c r="G2022" s="57"/>
      <c r="H2022" s="57"/>
      <c r="I2022" s="57"/>
      <c r="J2022" s="57"/>
      <c r="K2022" s="63"/>
      <c r="L2022" s="57"/>
      <c r="M2022" s="57"/>
      <c r="N2022" s="57"/>
      <c r="O2022" s="57"/>
      <c r="P2022" s="57"/>
      <c r="Q2022" s="57"/>
    </row>
    <row r="2023">
      <c r="A2023" s="60" t="s">
        <v>50</v>
      </c>
      <c r="B2023" s="60" t="s">
        <v>98</v>
      </c>
      <c r="C2023" s="57"/>
      <c r="D2023" s="57"/>
      <c r="E2023" s="57"/>
      <c r="F2023" s="57"/>
      <c r="G2023" s="57"/>
      <c r="H2023" s="57"/>
      <c r="I2023" s="57"/>
      <c r="J2023" s="57"/>
      <c r="K2023" s="63"/>
      <c r="L2023" s="57"/>
      <c r="M2023" s="57"/>
      <c r="N2023" s="57"/>
      <c r="O2023" s="57"/>
      <c r="P2023" s="57"/>
      <c r="Q2023" s="57"/>
    </row>
    <row r="2024">
      <c r="A2024" s="60" t="s">
        <v>483</v>
      </c>
      <c r="B2024" s="60" t="s">
        <v>505</v>
      </c>
      <c r="C2024" s="57"/>
      <c r="D2024" s="57"/>
      <c r="E2024" s="57"/>
      <c r="F2024" s="57"/>
      <c r="G2024" s="57"/>
      <c r="H2024" s="57"/>
      <c r="I2024" s="57"/>
      <c r="J2024" s="57"/>
      <c r="K2024" s="63"/>
      <c r="L2024" s="57"/>
      <c r="M2024" s="57"/>
      <c r="N2024" s="57"/>
      <c r="O2024" s="57"/>
      <c r="P2024" s="57"/>
      <c r="Q2024" s="57"/>
    </row>
    <row r="2025">
      <c r="A2025" s="60" t="s">
        <v>438</v>
      </c>
      <c r="B2025" s="60" t="s">
        <v>436</v>
      </c>
      <c r="C2025" s="57"/>
      <c r="D2025" s="57"/>
      <c r="E2025" s="57"/>
      <c r="F2025" s="57"/>
      <c r="G2025" s="57"/>
      <c r="H2025" s="57"/>
      <c r="I2025" s="57"/>
      <c r="J2025" s="57"/>
      <c r="K2025" s="63"/>
      <c r="L2025" s="57"/>
      <c r="M2025" s="57"/>
      <c r="N2025" s="57"/>
      <c r="O2025" s="57"/>
      <c r="P2025" s="57"/>
      <c r="Q2025" s="57"/>
    </row>
    <row r="2026">
      <c r="A2026" s="60" t="s">
        <v>439</v>
      </c>
      <c r="B2026" s="60" t="s">
        <v>502</v>
      </c>
      <c r="C2026" s="57"/>
      <c r="D2026" s="57"/>
      <c r="E2026" s="57"/>
      <c r="F2026" s="57"/>
      <c r="G2026" s="57"/>
      <c r="H2026" s="57"/>
      <c r="I2026" s="57"/>
      <c r="J2026" s="57"/>
      <c r="K2026" s="63"/>
      <c r="L2026" s="57"/>
      <c r="M2026" s="57"/>
      <c r="N2026" s="57"/>
      <c r="O2026" s="57"/>
      <c r="P2026" s="57"/>
      <c r="Q2026" s="57"/>
    </row>
    <row r="2027">
      <c r="A2027" s="60" t="s">
        <v>441</v>
      </c>
      <c r="B2027" s="60">
        <v>3.0</v>
      </c>
      <c r="C2027" s="57"/>
      <c r="D2027" s="57"/>
      <c r="E2027" s="57"/>
      <c r="F2027" s="57"/>
      <c r="G2027" s="57"/>
      <c r="H2027" s="57"/>
      <c r="I2027" s="57"/>
      <c r="J2027" s="57"/>
      <c r="K2027" s="63"/>
      <c r="L2027" s="57"/>
      <c r="M2027" s="57"/>
      <c r="N2027" s="57"/>
      <c r="O2027" s="57"/>
      <c r="P2027" s="57"/>
      <c r="Q2027" s="57"/>
    </row>
    <row r="2028">
      <c r="A2028" s="60" t="s">
        <v>982</v>
      </c>
      <c r="B2028" s="60" t="s">
        <v>436</v>
      </c>
      <c r="C2028" s="57"/>
      <c r="D2028" s="57"/>
      <c r="E2028" s="57"/>
      <c r="F2028" s="57"/>
      <c r="G2028" s="57"/>
      <c r="H2028" s="57"/>
      <c r="I2028" s="57"/>
      <c r="J2028" s="57"/>
      <c r="K2028" s="63"/>
      <c r="L2028" s="57"/>
      <c r="M2028" s="57"/>
      <c r="N2028" s="57"/>
      <c r="O2028" s="57"/>
      <c r="P2028" s="57"/>
      <c r="Q2028" s="57"/>
    </row>
    <row r="2029">
      <c r="A2029" s="60" t="s">
        <v>908</v>
      </c>
      <c r="B2029" s="60" t="s">
        <v>448</v>
      </c>
      <c r="C2029" s="57"/>
      <c r="D2029" s="57"/>
      <c r="E2029" s="57"/>
      <c r="F2029" s="57"/>
      <c r="G2029" s="57"/>
      <c r="H2029" s="57"/>
      <c r="I2029" s="57"/>
      <c r="J2029" s="57"/>
      <c r="K2029" s="63"/>
      <c r="L2029" s="57"/>
      <c r="M2029" s="57"/>
      <c r="N2029" s="57"/>
      <c r="O2029" s="57"/>
      <c r="P2029" s="57"/>
      <c r="Q2029" s="57"/>
    </row>
    <row r="2030">
      <c r="A2030" s="60" t="s">
        <v>995</v>
      </c>
      <c r="B2030" s="60" t="s">
        <v>513</v>
      </c>
      <c r="C2030" s="57"/>
      <c r="D2030" s="57"/>
      <c r="E2030" s="57"/>
      <c r="F2030" s="57"/>
      <c r="G2030" s="57"/>
      <c r="H2030" s="57"/>
      <c r="I2030" s="57"/>
      <c r="J2030" s="57"/>
      <c r="K2030" s="63"/>
      <c r="L2030" s="57"/>
      <c r="M2030" s="57"/>
      <c r="N2030" s="57"/>
      <c r="O2030" s="57"/>
      <c r="P2030" s="57"/>
      <c r="Q2030" s="57"/>
    </row>
    <row r="2031">
      <c r="A2031" s="87" t="s">
        <v>405</v>
      </c>
      <c r="B2031" s="15"/>
      <c r="C2031" s="57"/>
      <c r="D2031" s="57"/>
      <c r="E2031" s="57"/>
      <c r="F2031" s="57"/>
      <c r="G2031" s="57"/>
      <c r="H2031" s="57"/>
      <c r="I2031" s="57"/>
      <c r="J2031" s="57"/>
      <c r="K2031" s="63"/>
      <c r="L2031" s="57"/>
      <c r="M2031" s="57"/>
      <c r="N2031" s="57"/>
      <c r="O2031" s="57"/>
      <c r="P2031" s="57"/>
    </row>
    <row r="2032">
      <c r="A2032" s="60" t="s">
        <v>38</v>
      </c>
      <c r="B2032" s="26"/>
      <c r="C2032" s="65">
        <v>2400.0</v>
      </c>
      <c r="D2032" s="57">
        <f>ROUNDDOWN(C2032*1.07,0)</f>
        <v>2568</v>
      </c>
      <c r="E2032" s="57">
        <f>ROUNDDOWN(C2032*1.14,0)</f>
        <v>2736</v>
      </c>
      <c r="F2032" s="57">
        <f>ROUNDDOWN(C2032*1.21,0)</f>
        <v>2904</v>
      </c>
      <c r="G2032" s="57">
        <f>ROUNDDOWN(C2032*1.29,0)</f>
        <v>3096</v>
      </c>
      <c r="H2032" s="57">
        <f>ROUNDDOWN(C2032*1.38,0)</f>
        <v>3312</v>
      </c>
      <c r="I2032" s="57">
        <f>ROUNDDOWN(C2032*1.47,0)</f>
        <v>3528</v>
      </c>
      <c r="J2032" s="57">
        <f>ROUNDDOWN(C2032*1.57,0)</f>
        <v>3768</v>
      </c>
      <c r="K2032" s="63">
        <f>ROUNDDOWN(C2032*1.67,0)</f>
        <v>4008</v>
      </c>
      <c r="L2032" s="57">
        <f>ROUNDDOWN(C2032*1.83,0)</f>
        <v>4392</v>
      </c>
      <c r="M2032" s="57">
        <f>ROUNDDOWN(C2032*2.01,0)</f>
        <v>4824</v>
      </c>
      <c r="N2032" s="57">
        <f>ROUNDDOWN(C2032*2.21,0)</f>
        <v>5304</v>
      </c>
      <c r="O2032" s="57">
        <f>ROUNDDOWN(C2032*2.43,0)</f>
        <v>5832</v>
      </c>
      <c r="P2032" s="57"/>
    </row>
    <row r="2033">
      <c r="A2033" s="60" t="s">
        <v>24</v>
      </c>
      <c r="B2033" s="26"/>
      <c r="C2033" s="65">
        <v>50.0</v>
      </c>
      <c r="D2033" s="57">
        <f>ROUNDDOWN(C2033*1.08,0)</f>
        <v>54</v>
      </c>
      <c r="E2033" s="57">
        <f>ROUNDDOWN(C2033*1.16,0)</f>
        <v>58</v>
      </c>
      <c r="F2033" s="57">
        <f>ROUNDDOWN(C2033*1.25,0)</f>
        <v>62</v>
      </c>
      <c r="G2033" s="57">
        <f>ROUNDDOWN(C2033*1.35,0)</f>
        <v>67</v>
      </c>
      <c r="H2033" s="57">
        <f>ROUNDDOWN(C2033*1.45,0)</f>
        <v>72</v>
      </c>
      <c r="I2033" s="57">
        <f>ROUNDDOWN(C2033*1.56,0)</f>
        <v>78</v>
      </c>
      <c r="J2033" s="57">
        <f>ROUNDDOWN(C2033*1.68,0)</f>
        <v>84</v>
      </c>
      <c r="K2033" s="63">
        <f>ROUNDDOWN(C2033*1.81,0)</f>
        <v>90</v>
      </c>
      <c r="L2033" s="57">
        <f>ROUNDDOWN(C2033*1.99,0)</f>
        <v>99</v>
      </c>
      <c r="M2033" s="57">
        <f>ROUNDDOWN(C2033*2.18,0)</f>
        <v>109</v>
      </c>
      <c r="N2033" s="57">
        <f>ROUNDDOWN(C2033*2.39,0)</f>
        <v>119</v>
      </c>
      <c r="O2033" s="57">
        <f>ROUNDDOWN(C2033*2.62,0)</f>
        <v>131</v>
      </c>
      <c r="P2033" s="57"/>
    </row>
    <row r="2034">
      <c r="A2034" s="60" t="s">
        <v>428</v>
      </c>
      <c r="B2034" s="60" t="s">
        <v>481</v>
      </c>
      <c r="C2034" s="57"/>
      <c r="D2034" s="57"/>
      <c r="E2034" s="57"/>
      <c r="F2034" s="57"/>
      <c r="G2034" s="57"/>
      <c r="H2034" s="57"/>
      <c r="I2034" s="57"/>
      <c r="J2034" s="57"/>
      <c r="K2034" s="63"/>
      <c r="L2034" s="57"/>
      <c r="M2034" s="57"/>
      <c r="N2034" s="57"/>
      <c r="O2034" s="57"/>
      <c r="P2034" s="57"/>
    </row>
    <row r="2035">
      <c r="A2035" s="60" t="s">
        <v>49</v>
      </c>
      <c r="B2035" s="60" t="s">
        <v>430</v>
      </c>
      <c r="C2035" s="57"/>
      <c r="D2035" s="57"/>
      <c r="E2035" s="57"/>
      <c r="F2035" s="57"/>
      <c r="G2035" s="57"/>
      <c r="H2035" s="57"/>
      <c r="I2035" s="57"/>
      <c r="J2035" s="57"/>
      <c r="K2035" s="63"/>
      <c r="L2035" s="57"/>
      <c r="M2035" s="57"/>
      <c r="N2035" s="57"/>
      <c r="O2035" s="57"/>
      <c r="P2035" s="57"/>
    </row>
    <row r="2036">
      <c r="A2036" s="60" t="s">
        <v>432</v>
      </c>
      <c r="B2036" s="60" t="s">
        <v>433</v>
      </c>
      <c r="C2036" s="57"/>
      <c r="D2036" s="57"/>
      <c r="F2036" s="57"/>
      <c r="G2036" s="57"/>
      <c r="H2036" s="57"/>
      <c r="I2036" s="57"/>
      <c r="J2036" s="57"/>
      <c r="K2036" s="63"/>
      <c r="L2036" s="57"/>
      <c r="M2036" s="57"/>
      <c r="N2036" s="57"/>
      <c r="O2036" s="57"/>
      <c r="P2036" s="57"/>
    </row>
    <row r="2037">
      <c r="A2037" s="60" t="s">
        <v>422</v>
      </c>
      <c r="B2037" s="60" t="s">
        <v>434</v>
      </c>
      <c r="C2037" s="57"/>
      <c r="D2037" s="57"/>
      <c r="F2037" s="57"/>
      <c r="G2037" s="57"/>
      <c r="H2037" s="57"/>
      <c r="I2037" s="57"/>
      <c r="J2037" s="57"/>
      <c r="K2037" s="63"/>
      <c r="L2037" s="57"/>
      <c r="M2037" s="57"/>
      <c r="N2037" s="57"/>
      <c r="O2037" s="57"/>
      <c r="P2037" s="57"/>
    </row>
    <row r="2038">
      <c r="A2038" s="60" t="s">
        <v>435</v>
      </c>
      <c r="B2038" s="60" t="s">
        <v>436</v>
      </c>
      <c r="C2038" s="57"/>
      <c r="D2038" s="57"/>
      <c r="F2038" s="57"/>
      <c r="G2038" s="57"/>
      <c r="H2038" s="57"/>
      <c r="I2038" s="57"/>
      <c r="J2038" s="57"/>
      <c r="K2038" s="63"/>
      <c r="L2038" s="57"/>
      <c r="M2038" s="57"/>
      <c r="N2038" s="57"/>
      <c r="O2038" s="57"/>
      <c r="P2038" s="57"/>
    </row>
    <row r="2039">
      <c r="A2039" s="60" t="s">
        <v>426</v>
      </c>
      <c r="B2039" s="60" t="s">
        <v>427</v>
      </c>
      <c r="C2039" s="57"/>
      <c r="D2039" s="57"/>
      <c r="F2039" s="57"/>
      <c r="G2039" s="57"/>
      <c r="H2039" s="57"/>
      <c r="I2039" s="57"/>
      <c r="J2039" s="57"/>
      <c r="K2039" s="63"/>
      <c r="L2039" s="57"/>
      <c r="M2039" s="57"/>
      <c r="N2039" s="57"/>
      <c r="O2039" s="57"/>
      <c r="P2039" s="57"/>
    </row>
    <row r="2040">
      <c r="A2040" s="60" t="s">
        <v>53</v>
      </c>
      <c r="B2040" s="60" t="s">
        <v>481</v>
      </c>
      <c r="C2040" s="57"/>
      <c r="D2040" s="57"/>
      <c r="F2040" s="57"/>
      <c r="G2040" s="57"/>
      <c r="H2040" s="57"/>
      <c r="I2040" s="57"/>
      <c r="J2040" s="57"/>
      <c r="K2040" s="63"/>
      <c r="L2040" s="57"/>
      <c r="M2040" s="57"/>
      <c r="N2040" s="57"/>
      <c r="O2040" s="57"/>
      <c r="P2040" s="57"/>
    </row>
    <row r="2041">
      <c r="A2041" s="60" t="s">
        <v>50</v>
      </c>
      <c r="B2041" s="60" t="s">
        <v>425</v>
      </c>
      <c r="C2041" s="57"/>
      <c r="D2041" s="57"/>
      <c r="F2041" s="57"/>
      <c r="G2041" s="57"/>
      <c r="H2041" s="57"/>
      <c r="I2041" s="57"/>
      <c r="J2041" s="57"/>
      <c r="K2041" s="63"/>
      <c r="L2041" s="57"/>
      <c r="M2041" s="57"/>
      <c r="N2041" s="57"/>
      <c r="O2041" s="57"/>
      <c r="P2041" s="57"/>
    </row>
    <row r="2042">
      <c r="A2042" s="60" t="s">
        <v>849</v>
      </c>
      <c r="B2042" s="60" t="s">
        <v>677</v>
      </c>
      <c r="C2042" s="57"/>
      <c r="D2042" s="57"/>
      <c r="F2042" s="57"/>
      <c r="G2042" s="57"/>
      <c r="H2042" s="57"/>
      <c r="I2042" s="57"/>
      <c r="J2042" s="57"/>
      <c r="K2042" s="63"/>
      <c r="L2042" s="57"/>
      <c r="M2042" s="57"/>
      <c r="N2042" s="57"/>
      <c r="O2042" s="57"/>
      <c r="P2042" s="57"/>
    </row>
    <row r="2043">
      <c r="A2043" s="60" t="s">
        <v>439</v>
      </c>
      <c r="B2043" s="60" t="s">
        <v>996</v>
      </c>
      <c r="C2043" s="57"/>
      <c r="D2043" s="57"/>
      <c r="F2043" s="57"/>
      <c r="G2043" s="57"/>
      <c r="H2043" s="57"/>
      <c r="I2043" s="57"/>
      <c r="J2043" s="57"/>
      <c r="K2043" s="63"/>
      <c r="L2043" s="57"/>
      <c r="M2043" s="57"/>
      <c r="N2043" s="57"/>
      <c r="O2043" s="57"/>
      <c r="P2043" s="57"/>
    </row>
    <row r="2044">
      <c r="A2044" s="60" t="s">
        <v>444</v>
      </c>
      <c r="B2044" s="60" t="s">
        <v>473</v>
      </c>
      <c r="C2044" s="57"/>
      <c r="D2044" s="57"/>
      <c r="F2044" s="57"/>
      <c r="G2044" s="57"/>
      <c r="H2044" s="57"/>
      <c r="I2044" s="57"/>
      <c r="J2044" s="57"/>
      <c r="K2044" s="63"/>
      <c r="L2044" s="57"/>
      <c r="M2044" s="57"/>
      <c r="N2044" s="57"/>
      <c r="O2044" s="57"/>
      <c r="P2044" s="57"/>
    </row>
    <row r="2045">
      <c r="A2045" s="60" t="s">
        <v>446</v>
      </c>
      <c r="B2045" s="60" t="s">
        <v>499</v>
      </c>
      <c r="C2045" s="57"/>
      <c r="D2045" s="57"/>
      <c r="F2045" s="57"/>
      <c r="G2045" s="57"/>
      <c r="H2045" s="57"/>
      <c r="I2045" s="57"/>
      <c r="J2045" s="57"/>
      <c r="K2045" s="63"/>
      <c r="L2045" s="57"/>
      <c r="M2045" s="57"/>
      <c r="N2045" s="57"/>
      <c r="O2045" s="57"/>
      <c r="P2045" s="57"/>
    </row>
    <row r="2046">
      <c r="A2046" s="87" t="s">
        <v>406</v>
      </c>
      <c r="B2046" s="15"/>
      <c r="C2046" s="57"/>
      <c r="D2046" s="57"/>
      <c r="F2046" s="57"/>
      <c r="G2046" s="57"/>
      <c r="H2046" s="57"/>
      <c r="I2046" s="57"/>
      <c r="J2046" s="57"/>
      <c r="K2046" s="63"/>
      <c r="L2046" s="57"/>
      <c r="M2046" s="57"/>
      <c r="N2046" s="57"/>
      <c r="O2046" s="57"/>
      <c r="P2046" s="57"/>
    </row>
    <row r="2047">
      <c r="A2047" s="60" t="s">
        <v>38</v>
      </c>
      <c r="B2047" s="26"/>
      <c r="C2047" s="65">
        <v>1400.0</v>
      </c>
      <c r="D2047" s="57">
        <f t="shared" ref="D2047:D2048" si="789">ROUNDDOWN(C2047*1.08,0)</f>
        <v>1512</v>
      </c>
      <c r="E2047" s="57">
        <f t="shared" ref="E2047:E2048" si="790">ROUNDDOWN(C2047*1.16,0)</f>
        <v>1624</v>
      </c>
      <c r="F2047" s="57">
        <f t="shared" ref="F2047:F2048" si="791">ROUNDDOWN(C2047*1.25,0)</f>
        <v>1750</v>
      </c>
      <c r="G2047" s="57">
        <f t="shared" ref="G2047:G2048" si="792">ROUNDDOWN(C2047*1.35,0)</f>
        <v>1890</v>
      </c>
      <c r="H2047" s="57">
        <f t="shared" ref="H2047:H2048" si="793">ROUNDDOWN(C2047*1.45,0)</f>
        <v>2030</v>
      </c>
      <c r="I2047" s="57">
        <f t="shared" ref="I2047:I2048" si="794">ROUNDDOWN(C2047*1.56,0)</f>
        <v>2184</v>
      </c>
      <c r="J2047" s="57">
        <f t="shared" ref="J2047:J2048" si="795">ROUNDDOWN(C2047*1.68,0)</f>
        <v>2352</v>
      </c>
      <c r="K2047" s="63">
        <f t="shared" ref="K2047:K2048" si="796">ROUNDDOWN(C2047*1.81,0)</f>
        <v>2534</v>
      </c>
      <c r="L2047" s="57">
        <f t="shared" ref="L2047:L2048" si="797">ROUNDDOWN(C2047*1.99,0)</f>
        <v>2786</v>
      </c>
      <c r="M2047" s="57">
        <f t="shared" ref="M2047:M2048" si="798">ROUNDDOWN(C2047*2.18,0)</f>
        <v>3052</v>
      </c>
      <c r="N2047" s="57">
        <f t="shared" ref="N2047:N2048" si="799">ROUNDDOWN(C2047*2.39,0)</f>
        <v>3346</v>
      </c>
      <c r="O2047" s="57">
        <f t="shared" ref="O2047:O2048" si="800">ROUNDDOWN(C2047*2.62,0)</f>
        <v>3668</v>
      </c>
      <c r="P2047" s="57"/>
    </row>
    <row r="2048">
      <c r="A2048" s="60" t="s">
        <v>24</v>
      </c>
      <c r="B2048" s="26"/>
      <c r="C2048" s="65">
        <v>50.0</v>
      </c>
      <c r="D2048" s="57">
        <f t="shared" si="789"/>
        <v>54</v>
      </c>
      <c r="E2048" s="57">
        <f t="shared" si="790"/>
        <v>58</v>
      </c>
      <c r="F2048" s="57">
        <f t="shared" si="791"/>
        <v>62</v>
      </c>
      <c r="G2048" s="57">
        <f t="shared" si="792"/>
        <v>67</v>
      </c>
      <c r="H2048" s="57">
        <f t="shared" si="793"/>
        <v>72</v>
      </c>
      <c r="I2048" s="57">
        <f t="shared" si="794"/>
        <v>78</v>
      </c>
      <c r="J2048" s="57">
        <f t="shared" si="795"/>
        <v>84</v>
      </c>
      <c r="K2048" s="63">
        <f t="shared" si="796"/>
        <v>90</v>
      </c>
      <c r="L2048" s="57">
        <f t="shared" si="797"/>
        <v>99</v>
      </c>
      <c r="M2048" s="57">
        <f t="shared" si="798"/>
        <v>109</v>
      </c>
      <c r="N2048" s="57">
        <f t="shared" si="799"/>
        <v>119</v>
      </c>
      <c r="O2048" s="57">
        <f t="shared" si="800"/>
        <v>131</v>
      </c>
      <c r="P2048" s="57"/>
    </row>
    <row r="2049">
      <c r="A2049" s="60" t="s">
        <v>428</v>
      </c>
      <c r="B2049" s="60" t="s">
        <v>469</v>
      </c>
      <c r="C2049" s="57"/>
      <c r="D2049" s="57"/>
      <c r="F2049" s="57"/>
      <c r="G2049" s="57"/>
      <c r="H2049" s="57"/>
      <c r="I2049" s="57"/>
      <c r="J2049" s="57"/>
      <c r="K2049" s="63"/>
      <c r="L2049" s="57"/>
      <c r="M2049" s="57"/>
      <c r="N2049" s="57"/>
      <c r="O2049" s="57"/>
      <c r="P2049" s="57"/>
    </row>
    <row r="2050">
      <c r="A2050" s="60" t="s">
        <v>49</v>
      </c>
      <c r="B2050" s="60" t="s">
        <v>683</v>
      </c>
      <c r="C2050" s="57"/>
      <c r="D2050" s="57"/>
      <c r="F2050" s="57"/>
      <c r="G2050" s="57"/>
      <c r="H2050" s="57"/>
      <c r="I2050" s="57"/>
      <c r="J2050" s="57"/>
      <c r="K2050" s="63"/>
      <c r="L2050" s="57"/>
      <c r="M2050" s="57"/>
      <c r="N2050" s="57"/>
      <c r="O2050" s="57"/>
      <c r="P2050" s="57"/>
    </row>
    <row r="2051">
      <c r="A2051" s="60" t="s">
        <v>422</v>
      </c>
      <c r="B2051" s="60" t="s">
        <v>454</v>
      </c>
      <c r="C2051" s="57"/>
      <c r="D2051" s="57"/>
      <c r="F2051" s="57"/>
      <c r="G2051" s="57"/>
      <c r="H2051" s="57"/>
      <c r="I2051" s="57"/>
      <c r="J2051" s="57"/>
      <c r="K2051" s="63"/>
      <c r="L2051" s="57"/>
      <c r="M2051" s="57"/>
      <c r="N2051" s="57"/>
      <c r="O2051" s="57"/>
      <c r="P2051" s="57"/>
    </row>
    <row r="2052">
      <c r="A2052" s="60" t="s">
        <v>426</v>
      </c>
      <c r="B2052" s="60" t="s">
        <v>455</v>
      </c>
      <c r="C2052" s="57"/>
      <c r="D2052" s="57"/>
      <c r="F2052" s="57"/>
      <c r="G2052" s="57"/>
      <c r="H2052" s="57"/>
      <c r="I2052" s="57"/>
      <c r="J2052" s="57"/>
      <c r="K2052" s="63"/>
      <c r="L2052" s="57"/>
      <c r="M2052" s="57"/>
      <c r="N2052" s="57"/>
      <c r="O2052" s="57"/>
      <c r="P2052" s="57"/>
    </row>
    <row r="2053">
      <c r="A2053" s="60" t="s">
        <v>53</v>
      </c>
      <c r="B2053" s="60" t="s">
        <v>469</v>
      </c>
      <c r="C2053" s="57"/>
      <c r="D2053" s="57"/>
      <c r="E2053" s="57"/>
      <c r="F2053" s="57"/>
      <c r="G2053" s="57"/>
      <c r="H2053" s="57"/>
      <c r="I2053" s="57"/>
      <c r="J2053" s="57"/>
      <c r="K2053" s="63"/>
      <c r="L2053" s="57"/>
      <c r="M2053" s="57"/>
      <c r="N2053" s="57"/>
      <c r="O2053" s="57"/>
      <c r="P2053" s="57"/>
    </row>
    <row r="2054">
      <c r="A2054" s="60" t="s">
        <v>50</v>
      </c>
      <c r="B2054" s="60" t="s">
        <v>425</v>
      </c>
      <c r="C2054" s="57"/>
      <c r="D2054" s="57"/>
      <c r="E2054" s="57"/>
      <c r="F2054" s="57"/>
      <c r="G2054" s="57"/>
      <c r="H2054" s="57"/>
      <c r="I2054" s="57"/>
      <c r="J2054" s="57"/>
      <c r="K2054" s="63"/>
      <c r="L2054" s="57"/>
      <c r="M2054" s="57"/>
      <c r="N2054" s="57"/>
      <c r="O2054" s="57"/>
      <c r="P2054" s="57"/>
    </row>
    <row r="2055">
      <c r="A2055" s="60" t="s">
        <v>848</v>
      </c>
      <c r="B2055" s="60" t="s">
        <v>997</v>
      </c>
      <c r="C2055" s="57"/>
      <c r="D2055" s="57"/>
      <c r="E2055" s="57"/>
      <c r="F2055" s="57"/>
      <c r="G2055" s="57"/>
      <c r="H2055" s="57"/>
      <c r="I2055" s="57"/>
      <c r="J2055" s="57"/>
      <c r="K2055" s="63"/>
      <c r="L2055" s="57"/>
      <c r="M2055" s="57"/>
      <c r="N2055" s="57"/>
      <c r="O2055" s="57"/>
      <c r="P2055" s="57"/>
    </row>
    <row r="2056">
      <c r="A2056" s="60" t="s">
        <v>849</v>
      </c>
      <c r="B2056" s="60" t="s">
        <v>694</v>
      </c>
      <c r="C2056" s="57"/>
      <c r="D2056" s="57"/>
      <c r="E2056" s="57"/>
      <c r="F2056" s="57"/>
      <c r="G2056" s="57"/>
      <c r="H2056" s="57"/>
      <c r="I2056" s="57"/>
      <c r="J2056" s="57"/>
      <c r="K2056" s="63"/>
      <c r="L2056" s="57"/>
      <c r="M2056" s="57"/>
      <c r="N2056" s="57"/>
      <c r="O2056" s="57"/>
      <c r="P2056" s="57"/>
    </row>
    <row r="2057">
      <c r="A2057" s="60" t="s">
        <v>439</v>
      </c>
      <c r="B2057" s="60" t="s">
        <v>505</v>
      </c>
      <c r="C2057" s="57"/>
      <c r="D2057" s="57"/>
      <c r="E2057" s="57"/>
      <c r="F2057" s="57"/>
      <c r="G2057" s="57"/>
      <c r="H2057" s="57"/>
      <c r="I2057" s="57"/>
      <c r="J2057" s="57"/>
      <c r="K2057" s="63"/>
      <c r="L2057" s="57"/>
      <c r="M2057" s="57"/>
      <c r="N2057" s="57"/>
      <c r="O2057" s="57"/>
      <c r="P2057" s="57"/>
    </row>
    <row r="2058">
      <c r="A2058" s="60" t="s">
        <v>444</v>
      </c>
      <c r="B2058" s="60" t="s">
        <v>524</v>
      </c>
      <c r="C2058" s="57"/>
      <c r="D2058" s="57"/>
      <c r="E2058" s="57"/>
      <c r="F2058" s="57"/>
      <c r="G2058" s="57"/>
      <c r="H2058" s="57"/>
      <c r="I2058" s="57"/>
      <c r="J2058" s="57"/>
      <c r="K2058" s="63"/>
      <c r="L2058" s="57"/>
      <c r="M2058" s="57"/>
      <c r="N2058" s="57"/>
      <c r="O2058" s="57"/>
      <c r="P2058" s="57"/>
    </row>
    <row r="2059">
      <c r="A2059" s="60" t="s">
        <v>446</v>
      </c>
      <c r="B2059" s="60" t="s">
        <v>498</v>
      </c>
      <c r="C2059" s="57"/>
      <c r="D2059" s="57"/>
      <c r="E2059" s="57"/>
      <c r="F2059" s="57"/>
      <c r="G2059" s="57"/>
      <c r="H2059" s="57"/>
      <c r="I2059" s="57"/>
      <c r="J2059" s="57"/>
      <c r="K2059" s="63"/>
      <c r="L2059" s="57"/>
      <c r="M2059" s="57"/>
      <c r="N2059" s="57"/>
      <c r="O2059" s="57"/>
      <c r="P2059" s="57"/>
    </row>
    <row r="2060">
      <c r="K2060" s="88"/>
    </row>
  </sheetData>
  <mergeCells count="6">
    <mergeCell ref="A2:A3"/>
    <mergeCell ref="B2:B3"/>
    <mergeCell ref="C2:P2"/>
    <mergeCell ref="P1977:P1980"/>
    <mergeCell ref="A2031:B2031"/>
    <mergeCell ref="A2046:B204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16.14"/>
    <col customWidth="1" min="63" max="65" width="15.86"/>
    <col customWidth="1" min="66" max="66" width="21.57"/>
  </cols>
  <sheetData>
    <row r="1">
      <c r="A1" s="56" t="s">
        <v>998</v>
      </c>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row>
    <row r="2">
      <c r="A2" s="66"/>
      <c r="B2" s="66"/>
      <c r="C2" s="90">
        <v>2016.0</v>
      </c>
      <c r="D2" s="14"/>
      <c r="E2" s="14"/>
      <c r="F2" s="14"/>
      <c r="G2" s="14"/>
      <c r="H2" s="14"/>
      <c r="I2" s="14"/>
      <c r="J2" s="14"/>
      <c r="K2" s="14"/>
      <c r="L2" s="14"/>
      <c r="M2" s="14"/>
      <c r="N2" s="14"/>
      <c r="O2" s="14"/>
      <c r="P2" s="14"/>
      <c r="Q2" s="14"/>
      <c r="R2" s="15"/>
      <c r="S2" s="90">
        <v>2017.0</v>
      </c>
      <c r="T2" s="14"/>
      <c r="U2" s="14"/>
      <c r="V2" s="14"/>
      <c r="W2" s="14"/>
      <c r="X2" s="14"/>
      <c r="Y2" s="14"/>
      <c r="Z2" s="15"/>
      <c r="AA2" s="90">
        <v>2018.0</v>
      </c>
      <c r="AB2" s="14"/>
      <c r="AC2" s="14"/>
      <c r="AD2" s="14"/>
      <c r="AE2" s="14"/>
      <c r="AF2" s="14"/>
      <c r="AG2" s="14"/>
      <c r="AH2" s="14"/>
      <c r="AI2" s="14"/>
      <c r="AJ2" s="14"/>
      <c r="AK2" s="15"/>
      <c r="AL2" s="90">
        <v>2019.0</v>
      </c>
      <c r="AM2" s="14"/>
      <c r="AN2" s="14"/>
      <c r="AO2" s="14"/>
      <c r="AP2" s="14"/>
      <c r="AQ2" s="14"/>
      <c r="AR2" s="14"/>
      <c r="AS2" s="14"/>
      <c r="AT2" s="14"/>
      <c r="AU2" s="14"/>
      <c r="AV2" s="14"/>
      <c r="AW2" s="14"/>
      <c r="AX2" s="15"/>
      <c r="AY2" s="90">
        <v>2020.0</v>
      </c>
      <c r="AZ2" s="14"/>
      <c r="BA2" s="14"/>
      <c r="BB2" s="14"/>
      <c r="BC2" s="14"/>
      <c r="BD2" s="14"/>
      <c r="BE2" s="14"/>
      <c r="BF2" s="14"/>
      <c r="BG2" s="14"/>
      <c r="BH2" s="14"/>
      <c r="BI2" s="14"/>
      <c r="BJ2" s="15"/>
      <c r="BK2" s="90">
        <v>2021.0</v>
      </c>
      <c r="BL2" s="15"/>
      <c r="BM2" s="91" t="s">
        <v>999</v>
      </c>
      <c r="BN2" s="91" t="s">
        <v>1000</v>
      </c>
      <c r="BO2" s="57"/>
    </row>
    <row r="3">
      <c r="A3" s="61" t="s">
        <v>1001</v>
      </c>
      <c r="B3" s="61" t="s">
        <v>1002</v>
      </c>
      <c r="C3" s="61" t="s">
        <v>1003</v>
      </c>
      <c r="D3" s="61" t="s">
        <v>1004</v>
      </c>
      <c r="E3" s="61" t="s">
        <v>1005</v>
      </c>
      <c r="F3" s="61" t="s">
        <v>1006</v>
      </c>
      <c r="G3" s="61" t="s">
        <v>1007</v>
      </c>
      <c r="H3" s="61" t="s">
        <v>1008</v>
      </c>
      <c r="I3" s="61" t="s">
        <v>1009</v>
      </c>
      <c r="J3" s="61" t="s">
        <v>1010</v>
      </c>
      <c r="K3" s="61" t="s">
        <v>1011</v>
      </c>
      <c r="L3" s="61" t="s">
        <v>1012</v>
      </c>
      <c r="M3" s="61" t="s">
        <v>1013</v>
      </c>
      <c r="N3" s="61" t="s">
        <v>1014</v>
      </c>
      <c r="O3" s="61" t="s">
        <v>1015</v>
      </c>
      <c r="P3" s="61" t="s">
        <v>1016</v>
      </c>
      <c r="Q3" s="61" t="s">
        <v>1017</v>
      </c>
      <c r="R3" s="61" t="s">
        <v>1018</v>
      </c>
      <c r="S3" s="61" t="s">
        <v>1019</v>
      </c>
      <c r="T3" s="61" t="s">
        <v>1020</v>
      </c>
      <c r="U3" s="61" t="s">
        <v>1021</v>
      </c>
      <c r="V3" s="61" t="s">
        <v>1022</v>
      </c>
      <c r="W3" s="61" t="s">
        <v>1023</v>
      </c>
      <c r="X3" s="61" t="s">
        <v>1024</v>
      </c>
      <c r="Y3" s="61" t="s">
        <v>1025</v>
      </c>
      <c r="Z3" s="61" t="s">
        <v>1026</v>
      </c>
      <c r="AA3" s="61" t="s">
        <v>1027</v>
      </c>
      <c r="AB3" s="61" t="s">
        <v>1028</v>
      </c>
      <c r="AC3" s="61" t="s">
        <v>1029</v>
      </c>
      <c r="AD3" s="61" t="s">
        <v>1030</v>
      </c>
      <c r="AE3" s="61" t="s">
        <v>1031</v>
      </c>
      <c r="AF3" s="61" t="s">
        <v>1032</v>
      </c>
      <c r="AG3" s="61" t="s">
        <v>1033</v>
      </c>
      <c r="AH3" s="61" t="s">
        <v>1034</v>
      </c>
      <c r="AI3" s="61" t="s">
        <v>1035</v>
      </c>
      <c r="AJ3" s="61" t="s">
        <v>1036</v>
      </c>
      <c r="AK3" s="61" t="s">
        <v>1037</v>
      </c>
      <c r="AL3" s="61" t="s">
        <v>1038</v>
      </c>
      <c r="AM3" s="61" t="s">
        <v>1039</v>
      </c>
      <c r="AN3" s="61" t="s">
        <v>1040</v>
      </c>
      <c r="AO3" s="61" t="s">
        <v>1041</v>
      </c>
      <c r="AP3" s="61" t="s">
        <v>1042</v>
      </c>
      <c r="AQ3" s="61" t="s">
        <v>1043</v>
      </c>
      <c r="AR3" s="61" t="s">
        <v>1044</v>
      </c>
      <c r="AS3" s="61" t="s">
        <v>1045</v>
      </c>
      <c r="AT3" s="61" t="s">
        <v>1046</v>
      </c>
      <c r="AU3" s="61" t="s">
        <v>1047</v>
      </c>
      <c r="AV3" s="61" t="s">
        <v>1048</v>
      </c>
      <c r="AW3" s="61" t="s">
        <v>1049</v>
      </c>
      <c r="AX3" s="61" t="s">
        <v>1050</v>
      </c>
      <c r="AY3" s="61" t="s">
        <v>1038</v>
      </c>
      <c r="AZ3" s="61" t="s">
        <v>1051</v>
      </c>
      <c r="BA3" s="61" t="s">
        <v>1052</v>
      </c>
      <c r="BB3" s="61" t="s">
        <v>1053</v>
      </c>
      <c r="BC3" s="61" t="s">
        <v>1054</v>
      </c>
      <c r="BD3" s="61" t="s">
        <v>1055</v>
      </c>
      <c r="BE3" s="61" t="s">
        <v>1056</v>
      </c>
      <c r="BF3" s="61" t="s">
        <v>1057</v>
      </c>
      <c r="BG3" s="61" t="s">
        <v>1058</v>
      </c>
      <c r="BH3" s="61" t="s">
        <v>1059</v>
      </c>
      <c r="BI3" s="61" t="s">
        <v>1060</v>
      </c>
      <c r="BJ3" s="61" t="s">
        <v>1061</v>
      </c>
      <c r="BK3" s="61" t="s">
        <v>1062</v>
      </c>
      <c r="BL3" s="61" t="s">
        <v>1063</v>
      </c>
      <c r="BM3" s="22"/>
      <c r="BN3" s="22"/>
      <c r="BO3" s="57"/>
    </row>
    <row r="4">
      <c r="A4" s="60" t="s">
        <v>82</v>
      </c>
      <c r="B4" s="92" t="s">
        <v>1064</v>
      </c>
      <c r="C4" s="57"/>
      <c r="D4" s="65" t="s">
        <v>1065</v>
      </c>
      <c r="E4" s="57"/>
      <c r="F4" s="65" t="s">
        <v>1066</v>
      </c>
      <c r="G4" s="57"/>
      <c r="H4" s="57"/>
      <c r="I4" s="57"/>
      <c r="J4" s="57"/>
      <c r="K4" s="57"/>
      <c r="L4" s="57"/>
      <c r="M4" s="57"/>
      <c r="N4" s="57"/>
      <c r="O4" s="57"/>
      <c r="P4" s="57"/>
      <c r="Q4" s="57"/>
      <c r="R4" s="57"/>
      <c r="S4" s="57"/>
      <c r="T4" s="57"/>
      <c r="U4" s="65" t="s">
        <v>1067</v>
      </c>
      <c r="V4" s="65"/>
      <c r="W4" s="65"/>
      <c r="X4" s="65"/>
      <c r="Y4" s="65"/>
      <c r="Z4" s="65" t="s">
        <v>1068</v>
      </c>
      <c r="AA4" s="65"/>
      <c r="AB4" s="65"/>
      <c r="AC4" s="65" t="s">
        <v>1069</v>
      </c>
      <c r="AD4" s="65"/>
      <c r="AE4" s="65"/>
      <c r="AF4" s="65"/>
      <c r="AG4" s="65"/>
      <c r="AH4" s="65"/>
      <c r="AI4" s="65"/>
      <c r="AJ4" s="65"/>
      <c r="AK4" s="65"/>
      <c r="AL4" s="65"/>
      <c r="AM4" s="65"/>
      <c r="AN4" s="65"/>
      <c r="AO4" s="65"/>
      <c r="AP4" s="65"/>
      <c r="AQ4" s="65" t="s">
        <v>1070</v>
      </c>
      <c r="AR4" s="65"/>
      <c r="AS4" s="65"/>
      <c r="AT4" s="65"/>
      <c r="AU4" s="65"/>
      <c r="AW4" s="65" t="s">
        <v>1071</v>
      </c>
      <c r="AX4" s="65"/>
      <c r="AY4" s="65"/>
      <c r="AZ4" s="65"/>
      <c r="BA4" s="65"/>
      <c r="BB4" s="65"/>
      <c r="BC4" s="65"/>
      <c r="BD4" s="65"/>
      <c r="BE4" s="65"/>
      <c r="BF4" s="65" t="s">
        <v>1072</v>
      </c>
      <c r="BG4" s="65"/>
      <c r="BH4" s="65"/>
      <c r="BI4" s="65"/>
      <c r="BJ4" s="65"/>
      <c r="BK4" s="65"/>
      <c r="BL4" s="65"/>
      <c r="BM4" s="60">
        <f t="shared" ref="BM4:BM108" si="1">COUNTA(C4:BL4)</f>
        <v>8</v>
      </c>
      <c r="BN4" s="60" t="s">
        <v>1073</v>
      </c>
      <c r="BO4" s="57"/>
    </row>
    <row r="5">
      <c r="A5" s="60" t="s">
        <v>86</v>
      </c>
      <c r="B5" s="92" t="s">
        <v>1064</v>
      </c>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75" t="s">
        <v>1074</v>
      </c>
      <c r="AF5" s="75"/>
      <c r="AG5" s="75"/>
      <c r="AH5" s="75"/>
      <c r="AI5" s="75"/>
      <c r="AJ5" s="75"/>
      <c r="AK5" s="75"/>
      <c r="AL5" s="75"/>
      <c r="AM5" s="75"/>
      <c r="AN5" s="75"/>
      <c r="AO5" s="75"/>
      <c r="AP5" s="75"/>
      <c r="AQ5" s="75"/>
      <c r="AR5" s="65" t="s">
        <v>1075</v>
      </c>
      <c r="AS5" s="65"/>
      <c r="AT5" s="65"/>
      <c r="AU5" s="65"/>
      <c r="AV5" s="65"/>
      <c r="AW5" s="65"/>
      <c r="AX5" s="65"/>
      <c r="AY5" s="65"/>
      <c r="AZ5" s="65"/>
      <c r="BA5" s="65"/>
      <c r="BB5" s="65"/>
      <c r="BC5" s="65"/>
      <c r="BD5" s="65" t="s">
        <v>1076</v>
      </c>
      <c r="BE5" s="65"/>
      <c r="BF5" s="65"/>
      <c r="BG5" s="65"/>
      <c r="BH5" s="65"/>
      <c r="BI5" s="65"/>
      <c r="BJ5" s="65"/>
      <c r="BK5" s="65"/>
      <c r="BL5" s="65"/>
      <c r="BM5" s="60">
        <f t="shared" si="1"/>
        <v>3</v>
      </c>
      <c r="BN5" s="60" t="s">
        <v>1077</v>
      </c>
      <c r="BO5" s="57"/>
    </row>
    <row r="6">
      <c r="A6" s="60" t="s">
        <v>93</v>
      </c>
      <c r="B6" s="92" t="s">
        <v>1064</v>
      </c>
      <c r="C6" s="57"/>
      <c r="D6" s="57"/>
      <c r="E6" s="57"/>
      <c r="F6" s="57"/>
      <c r="G6" s="57"/>
      <c r="H6" s="65" t="s">
        <v>1069</v>
      </c>
      <c r="I6" s="57"/>
      <c r="J6" s="57"/>
      <c r="K6" s="57"/>
      <c r="L6" s="57"/>
      <c r="M6" s="65" t="s">
        <v>1078</v>
      </c>
      <c r="N6" s="57"/>
      <c r="O6" s="57"/>
      <c r="P6" s="57"/>
      <c r="Q6" s="57"/>
      <c r="R6" s="57"/>
      <c r="S6" s="65" t="s">
        <v>1079</v>
      </c>
      <c r="T6" s="57"/>
      <c r="U6" s="57"/>
      <c r="V6" s="57"/>
      <c r="W6" s="57"/>
      <c r="X6" s="57"/>
      <c r="Y6" s="57"/>
      <c r="Z6" s="57"/>
      <c r="AA6" s="57"/>
      <c r="AB6" s="57"/>
      <c r="AC6" s="57"/>
      <c r="AD6" s="57"/>
      <c r="AE6" s="57"/>
      <c r="AF6" s="57"/>
      <c r="AG6" s="57"/>
      <c r="AH6" s="57"/>
      <c r="AI6" s="57"/>
      <c r="AJ6" s="57"/>
      <c r="AK6" s="65" t="s">
        <v>1080</v>
      </c>
      <c r="AL6" s="65"/>
      <c r="AM6" s="65"/>
      <c r="AN6" s="65"/>
      <c r="AO6" s="65"/>
      <c r="AP6" s="65"/>
      <c r="AQ6" s="65"/>
      <c r="AR6" s="65"/>
      <c r="AS6" s="65"/>
      <c r="AT6" s="65"/>
      <c r="AU6" s="65"/>
      <c r="AV6" s="65"/>
      <c r="AW6" s="65"/>
      <c r="AX6" s="65"/>
      <c r="AY6" s="65"/>
      <c r="AZ6" s="65"/>
      <c r="BA6" s="65"/>
      <c r="BB6" s="65"/>
      <c r="BC6" s="65"/>
      <c r="BD6" s="65" t="s">
        <v>1081</v>
      </c>
      <c r="BE6" s="65"/>
      <c r="BF6" s="65"/>
      <c r="BG6" s="65"/>
      <c r="BH6" s="65"/>
      <c r="BI6" s="65"/>
      <c r="BJ6" s="65"/>
      <c r="BK6" s="65"/>
      <c r="BL6" s="65"/>
      <c r="BM6" s="60">
        <f t="shared" si="1"/>
        <v>5</v>
      </c>
      <c r="BN6" s="60" t="s">
        <v>1082</v>
      </c>
      <c r="BO6" s="57"/>
    </row>
    <row r="7">
      <c r="A7" s="60" t="s">
        <v>97</v>
      </c>
      <c r="B7" s="92" t="s">
        <v>1064</v>
      </c>
      <c r="C7" s="57"/>
      <c r="D7" s="57"/>
      <c r="E7" s="57"/>
      <c r="F7" s="57"/>
      <c r="G7" s="57"/>
      <c r="H7" s="57"/>
      <c r="I7" s="57"/>
      <c r="J7" s="65" t="s">
        <v>1083</v>
      </c>
      <c r="K7" s="57"/>
      <c r="L7" s="57"/>
      <c r="M7" s="57"/>
      <c r="N7" s="57"/>
      <c r="O7" s="57"/>
      <c r="P7" s="57"/>
      <c r="Q7" s="57"/>
      <c r="R7" s="57"/>
      <c r="S7" s="57"/>
      <c r="T7" s="57"/>
      <c r="U7" s="57"/>
      <c r="V7" s="57"/>
      <c r="W7" s="57"/>
      <c r="X7" s="57"/>
      <c r="Y7" s="57"/>
      <c r="Z7" s="65" t="s">
        <v>1084</v>
      </c>
      <c r="AA7" s="65"/>
      <c r="AB7" s="65" t="s">
        <v>1085</v>
      </c>
      <c r="AC7" s="65" t="s">
        <v>1086</v>
      </c>
      <c r="AD7" s="65"/>
      <c r="AE7" s="65"/>
      <c r="AF7" s="65"/>
      <c r="AG7" s="65" t="s">
        <v>1087</v>
      </c>
      <c r="AH7" s="65"/>
      <c r="AI7" s="65"/>
      <c r="AJ7" s="65"/>
      <c r="AK7" s="65"/>
      <c r="AL7" s="65"/>
      <c r="AM7" s="65" t="s">
        <v>1088</v>
      </c>
      <c r="AN7" s="65"/>
      <c r="AO7" s="65"/>
      <c r="AP7" s="65"/>
      <c r="AQ7" s="65"/>
      <c r="AR7" s="65" t="s">
        <v>1089</v>
      </c>
      <c r="AS7" s="65"/>
      <c r="AT7" s="65"/>
      <c r="AU7" s="65"/>
      <c r="AV7" s="65"/>
      <c r="AW7" s="65"/>
      <c r="AX7" s="65" t="s">
        <v>1090</v>
      </c>
      <c r="AY7" s="65"/>
      <c r="AZ7" s="65"/>
      <c r="BA7" s="65"/>
      <c r="BB7" s="65"/>
      <c r="BC7" s="65"/>
      <c r="BD7" s="65"/>
      <c r="BE7" s="65"/>
      <c r="BF7" s="65"/>
      <c r="BG7" s="65"/>
      <c r="BH7" s="65"/>
      <c r="BI7" s="65"/>
      <c r="BJ7" s="65"/>
      <c r="BK7" s="65" t="s">
        <v>1091</v>
      </c>
      <c r="BL7" s="65"/>
      <c r="BM7" s="60">
        <f t="shared" si="1"/>
        <v>9</v>
      </c>
      <c r="BN7" s="60" t="s">
        <v>1092</v>
      </c>
      <c r="BO7" s="57"/>
    </row>
    <row r="8">
      <c r="A8" s="60" t="s">
        <v>100</v>
      </c>
      <c r="B8" s="92" t="s">
        <v>1064</v>
      </c>
      <c r="C8" s="57"/>
      <c r="D8" s="57"/>
      <c r="E8" s="57"/>
      <c r="F8" s="65" t="s">
        <v>1066</v>
      </c>
      <c r="G8" s="57"/>
      <c r="H8" s="57"/>
      <c r="I8" s="57"/>
      <c r="J8" s="57"/>
      <c r="K8" s="57"/>
      <c r="L8" s="57"/>
      <c r="M8" s="57"/>
      <c r="N8" s="57"/>
      <c r="O8" s="57"/>
      <c r="P8" s="57"/>
      <c r="Q8" s="57"/>
      <c r="R8" s="57"/>
      <c r="S8" s="57"/>
      <c r="T8" s="57"/>
      <c r="U8" s="57"/>
      <c r="V8" s="57"/>
      <c r="W8" s="57"/>
      <c r="X8" s="57"/>
      <c r="Y8" s="57"/>
      <c r="Z8" s="65" t="s">
        <v>1068</v>
      </c>
      <c r="AA8" s="65"/>
      <c r="AB8" s="65"/>
      <c r="AC8" s="65" t="s">
        <v>1069</v>
      </c>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t="s">
        <v>1072</v>
      </c>
      <c r="BG8" s="65"/>
      <c r="BH8" s="65"/>
      <c r="BI8" s="65"/>
      <c r="BJ8" s="65"/>
      <c r="BK8" s="65"/>
      <c r="BL8" s="65"/>
      <c r="BM8" s="60">
        <f t="shared" si="1"/>
        <v>4</v>
      </c>
      <c r="BN8" s="60" t="s">
        <v>1093</v>
      </c>
      <c r="BO8" s="57"/>
    </row>
    <row r="9">
      <c r="A9" s="60" t="s">
        <v>102</v>
      </c>
      <c r="B9" s="92" t="s">
        <v>1064</v>
      </c>
      <c r="C9" s="57"/>
      <c r="D9" s="57"/>
      <c r="E9" s="65" t="s">
        <v>1086</v>
      </c>
      <c r="F9" s="57"/>
      <c r="G9" s="57"/>
      <c r="H9" s="57"/>
      <c r="I9" s="65" t="s">
        <v>1069</v>
      </c>
      <c r="J9" s="57"/>
      <c r="K9" s="57"/>
      <c r="L9" s="57"/>
      <c r="M9" s="57"/>
      <c r="N9" s="57"/>
      <c r="O9" s="57"/>
      <c r="P9" s="57"/>
      <c r="Q9" s="57"/>
      <c r="R9" s="57"/>
      <c r="S9" s="57"/>
      <c r="T9" s="57"/>
      <c r="U9" s="57"/>
      <c r="V9" s="57"/>
      <c r="W9" s="57"/>
      <c r="X9" s="65" t="s">
        <v>1087</v>
      </c>
      <c r="Y9" s="65"/>
      <c r="Z9" s="65"/>
      <c r="AA9" s="65" t="s">
        <v>1094</v>
      </c>
      <c r="AB9" s="65"/>
      <c r="AC9" s="65"/>
      <c r="AD9" s="65"/>
      <c r="AE9" s="65"/>
      <c r="AF9" s="65"/>
      <c r="AG9" s="65"/>
      <c r="AH9" s="65"/>
      <c r="AI9" s="65"/>
      <c r="AJ9" s="65"/>
      <c r="AK9" s="65"/>
      <c r="AL9" s="65"/>
      <c r="AM9" s="65"/>
      <c r="AN9" s="65"/>
      <c r="AO9" s="65"/>
      <c r="AP9" s="65"/>
      <c r="AQ9" s="65"/>
      <c r="AR9" s="65" t="s">
        <v>1095</v>
      </c>
      <c r="AS9" s="65"/>
      <c r="AT9" s="65"/>
      <c r="AU9" s="65"/>
      <c r="AV9" s="65"/>
      <c r="AW9" s="65"/>
      <c r="AX9" s="65"/>
      <c r="AY9" s="65"/>
      <c r="AZ9" s="65"/>
      <c r="BA9" s="65"/>
      <c r="BB9" s="65"/>
      <c r="BC9" s="65" t="s">
        <v>1075</v>
      </c>
      <c r="BD9" s="65"/>
      <c r="BE9" s="65"/>
      <c r="BF9" s="65"/>
      <c r="BG9" s="65"/>
      <c r="BH9" s="65"/>
      <c r="BI9" s="65" t="s">
        <v>1096</v>
      </c>
      <c r="BJ9" s="65"/>
      <c r="BK9" s="65"/>
      <c r="BL9" s="65"/>
      <c r="BM9" s="60">
        <f t="shared" si="1"/>
        <v>7</v>
      </c>
      <c r="BN9" s="60" t="s">
        <v>1097</v>
      </c>
      <c r="BO9" s="57"/>
    </row>
    <row r="10">
      <c r="A10" s="60" t="s">
        <v>105</v>
      </c>
      <c r="B10" s="92" t="s">
        <v>1064</v>
      </c>
      <c r="C10" s="57"/>
      <c r="D10" s="57"/>
      <c r="E10" s="65" t="s">
        <v>1098</v>
      </c>
      <c r="F10" s="65" t="s">
        <v>1099</v>
      </c>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M10" s="65" t="s">
        <v>1100</v>
      </c>
      <c r="AN10" s="65"/>
      <c r="AO10" s="65"/>
      <c r="AP10" s="65"/>
      <c r="AQ10" s="65"/>
      <c r="AR10" s="65"/>
      <c r="AS10" s="65"/>
      <c r="AT10" s="65"/>
      <c r="AU10" s="65"/>
      <c r="AV10" s="65"/>
      <c r="AW10" s="65"/>
      <c r="AX10" s="65"/>
      <c r="AY10" s="65"/>
      <c r="AZ10" s="65"/>
      <c r="BA10" s="65"/>
      <c r="BB10" s="65"/>
      <c r="BC10" s="65"/>
      <c r="BD10" s="65"/>
      <c r="BE10" s="65"/>
      <c r="BF10" s="65"/>
      <c r="BG10" s="65"/>
      <c r="BH10" s="65" t="s">
        <v>1101</v>
      </c>
      <c r="BI10" s="65"/>
      <c r="BJ10" s="65"/>
      <c r="BK10" s="65"/>
      <c r="BL10" s="65"/>
      <c r="BM10" s="60">
        <f t="shared" si="1"/>
        <v>4</v>
      </c>
      <c r="BN10" s="60" t="s">
        <v>1102</v>
      </c>
      <c r="BO10" s="57"/>
    </row>
    <row r="11">
      <c r="A11" s="60" t="s">
        <v>107</v>
      </c>
      <c r="B11" s="92" t="s">
        <v>1064</v>
      </c>
      <c r="C11" s="57"/>
      <c r="D11" s="57"/>
      <c r="E11" s="65" t="s">
        <v>1090</v>
      </c>
      <c r="F11" s="57"/>
      <c r="G11" s="57"/>
      <c r="H11" s="65" t="s">
        <v>1087</v>
      </c>
      <c r="I11" s="57"/>
      <c r="J11" s="57"/>
      <c r="K11" s="57"/>
      <c r="L11" s="57"/>
      <c r="M11" s="57"/>
      <c r="N11" s="65" t="s">
        <v>1103</v>
      </c>
      <c r="O11" s="65" t="s">
        <v>1091</v>
      </c>
      <c r="P11" s="57"/>
      <c r="Q11" s="57"/>
      <c r="R11" s="57"/>
      <c r="S11" s="57"/>
      <c r="T11" s="57"/>
      <c r="U11" s="57"/>
      <c r="V11" s="57"/>
      <c r="W11" s="57"/>
      <c r="X11" s="57"/>
      <c r="Y11" s="57"/>
      <c r="Z11" s="57"/>
      <c r="AA11" s="57"/>
      <c r="AB11" s="57"/>
      <c r="AC11" s="57"/>
      <c r="AD11" s="57"/>
      <c r="AE11" s="57"/>
      <c r="AF11" s="57"/>
      <c r="AG11" s="57"/>
      <c r="AH11" s="57"/>
      <c r="AI11" s="57"/>
      <c r="AJ11" s="65" t="s">
        <v>1104</v>
      </c>
      <c r="AK11" s="65"/>
      <c r="AL11" s="65"/>
      <c r="AM11" s="65"/>
      <c r="AN11" s="65"/>
      <c r="AO11" s="65"/>
      <c r="AP11" s="65"/>
      <c r="AQ11" s="65"/>
      <c r="AR11" s="65"/>
      <c r="AS11" s="65"/>
      <c r="AT11" s="65" t="s">
        <v>1105</v>
      </c>
      <c r="AU11" s="65"/>
      <c r="AV11" s="65"/>
      <c r="AW11" s="65"/>
      <c r="AX11" s="65"/>
      <c r="AY11" s="65"/>
      <c r="AZ11" s="65"/>
      <c r="BA11" s="65"/>
      <c r="BB11" s="65"/>
      <c r="BC11" s="65"/>
      <c r="BD11" s="65"/>
      <c r="BE11" s="65"/>
      <c r="BF11" s="65"/>
      <c r="BG11" s="65"/>
      <c r="BH11" s="65"/>
      <c r="BI11" s="65"/>
      <c r="BJ11" s="65"/>
      <c r="BK11" s="65"/>
      <c r="BL11" s="65"/>
      <c r="BM11" s="60">
        <f t="shared" si="1"/>
        <v>6</v>
      </c>
      <c r="BN11" s="60" t="s">
        <v>1106</v>
      </c>
      <c r="BO11" s="57"/>
    </row>
    <row r="12">
      <c r="A12" s="60" t="s">
        <v>113</v>
      </c>
      <c r="B12" s="92" t="s">
        <v>1064</v>
      </c>
      <c r="C12" s="57"/>
      <c r="D12" s="57"/>
      <c r="E12" s="57"/>
      <c r="F12" s="57"/>
      <c r="G12" s="57"/>
      <c r="H12" s="57"/>
      <c r="I12" s="57"/>
      <c r="J12" s="57"/>
      <c r="K12" s="57"/>
      <c r="L12" s="57"/>
      <c r="M12" s="57"/>
      <c r="N12" s="57"/>
      <c r="O12" s="57"/>
      <c r="P12" s="57"/>
      <c r="Q12" s="57"/>
      <c r="R12" s="57"/>
      <c r="S12" s="57"/>
      <c r="T12" s="57"/>
      <c r="U12" s="57"/>
      <c r="V12" s="57"/>
      <c r="W12" s="57"/>
      <c r="X12" s="57"/>
      <c r="Y12" s="65" t="s">
        <v>1107</v>
      </c>
      <c r="Z12" s="65"/>
      <c r="AA12" s="65"/>
      <c r="AB12" s="65"/>
      <c r="AC12" s="65" t="s">
        <v>1084</v>
      </c>
      <c r="AD12" s="65" t="s">
        <v>1108</v>
      </c>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t="s">
        <v>1081</v>
      </c>
      <c r="BE12" s="65"/>
      <c r="BF12" s="65"/>
      <c r="BG12" s="65"/>
      <c r="BH12" s="65"/>
      <c r="BI12" s="65"/>
      <c r="BJ12" s="65"/>
      <c r="BK12" s="65"/>
      <c r="BL12" s="65"/>
      <c r="BM12" s="60">
        <f t="shared" si="1"/>
        <v>4</v>
      </c>
      <c r="BN12" s="60" t="s">
        <v>1109</v>
      </c>
      <c r="BO12" s="57"/>
    </row>
    <row r="13">
      <c r="A13" s="60" t="s">
        <v>115</v>
      </c>
      <c r="B13" s="92" t="s">
        <v>1064</v>
      </c>
      <c r="C13" s="57"/>
      <c r="D13" s="57"/>
      <c r="E13" s="57"/>
      <c r="F13" s="57"/>
      <c r="G13" s="57"/>
      <c r="H13" s="57"/>
      <c r="I13" s="57"/>
      <c r="J13" s="57"/>
      <c r="K13" s="57"/>
      <c r="L13" s="57"/>
      <c r="M13" s="57"/>
      <c r="N13" s="57"/>
      <c r="O13" s="57"/>
      <c r="P13" s="57"/>
      <c r="Q13" s="57"/>
      <c r="R13" s="57"/>
      <c r="S13" s="57"/>
      <c r="T13" s="57"/>
      <c r="U13" s="57"/>
      <c r="V13" s="57"/>
      <c r="W13" s="57"/>
      <c r="X13" s="57"/>
      <c r="Y13" s="57"/>
      <c r="Z13" s="65" t="s">
        <v>1110</v>
      </c>
      <c r="AA13" s="65"/>
      <c r="AB13" s="65"/>
      <c r="AC13" s="65"/>
      <c r="AD13" s="65"/>
      <c r="AE13" s="65"/>
      <c r="AF13" s="65" t="s">
        <v>1111</v>
      </c>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t="s">
        <v>1081</v>
      </c>
      <c r="BE13" s="65"/>
      <c r="BF13" s="65"/>
      <c r="BG13" s="65"/>
      <c r="BH13" s="65"/>
      <c r="BI13" s="65"/>
      <c r="BJ13" s="65"/>
      <c r="BK13" s="65"/>
      <c r="BL13" s="65"/>
      <c r="BM13" s="60">
        <f t="shared" si="1"/>
        <v>3</v>
      </c>
      <c r="BN13" s="60" t="s">
        <v>1112</v>
      </c>
      <c r="BO13" s="57"/>
    </row>
    <row r="14">
      <c r="A14" s="60" t="s">
        <v>116</v>
      </c>
      <c r="B14" s="92" t="s">
        <v>1113</v>
      </c>
      <c r="C14" s="93"/>
      <c r="D14" s="94"/>
      <c r="E14" s="93"/>
      <c r="F14" s="93"/>
      <c r="G14" s="93"/>
      <c r="H14" s="94"/>
      <c r="I14" s="94"/>
      <c r="J14" s="93"/>
      <c r="K14" s="93"/>
      <c r="L14" s="93"/>
      <c r="M14" s="93"/>
      <c r="N14" s="94"/>
      <c r="O14" s="93"/>
      <c r="P14" s="93"/>
      <c r="Q14" s="93"/>
      <c r="R14" s="94"/>
      <c r="S14" s="93"/>
      <c r="T14" s="93"/>
      <c r="U14" s="93"/>
      <c r="V14" s="93"/>
      <c r="W14" s="93"/>
      <c r="X14" s="93"/>
      <c r="Y14" s="93"/>
      <c r="Z14" s="93"/>
      <c r="AA14" s="93"/>
      <c r="AB14" s="93"/>
      <c r="AC14" s="93"/>
      <c r="AD14" s="93"/>
      <c r="AE14" s="94"/>
      <c r="AF14" s="94"/>
      <c r="AG14" s="94"/>
      <c r="AH14" s="94"/>
      <c r="AI14" s="94"/>
      <c r="AJ14" s="94"/>
      <c r="AK14" s="94"/>
      <c r="AL14" s="94"/>
      <c r="AM14" s="94"/>
      <c r="AN14" s="94"/>
      <c r="AO14" s="94"/>
      <c r="AP14" s="94"/>
      <c r="AQ14" s="65"/>
      <c r="AR14" s="65" t="s">
        <v>1114</v>
      </c>
      <c r="AS14" s="65"/>
      <c r="AT14" s="65" t="s">
        <v>1115</v>
      </c>
      <c r="AU14" s="65"/>
      <c r="AV14" s="65"/>
      <c r="AW14" s="65"/>
      <c r="AX14" s="65"/>
      <c r="AY14" s="65"/>
      <c r="AZ14" s="65"/>
      <c r="BA14" s="65"/>
      <c r="BB14" s="65"/>
      <c r="BC14" s="65" t="s">
        <v>1116</v>
      </c>
      <c r="BD14" s="65"/>
      <c r="BE14" s="65"/>
      <c r="BF14" s="65"/>
      <c r="BG14" s="65"/>
      <c r="BH14" s="65"/>
      <c r="BI14" s="65"/>
      <c r="BJ14" s="65"/>
      <c r="BK14" s="65"/>
      <c r="BL14" s="65"/>
      <c r="BM14" s="60">
        <f t="shared" si="1"/>
        <v>3</v>
      </c>
      <c r="BN14" s="60" t="s">
        <v>1117</v>
      </c>
      <c r="BO14" s="57"/>
    </row>
    <row r="15">
      <c r="A15" s="60" t="s">
        <v>123</v>
      </c>
      <c r="B15" s="92" t="s">
        <v>1064</v>
      </c>
      <c r="C15" s="57"/>
      <c r="D15" s="65" t="s">
        <v>1096</v>
      </c>
      <c r="E15" s="57"/>
      <c r="F15" s="57"/>
      <c r="G15" s="57"/>
      <c r="H15" s="57"/>
      <c r="I15" s="57"/>
      <c r="J15" s="65" t="s">
        <v>1118</v>
      </c>
      <c r="K15" s="57"/>
      <c r="L15" s="65" t="s">
        <v>1119</v>
      </c>
      <c r="M15" s="57"/>
      <c r="N15" s="65" t="s">
        <v>1120</v>
      </c>
      <c r="O15" s="57"/>
      <c r="P15" s="57"/>
      <c r="Q15" s="57"/>
      <c r="R15" s="65" t="s">
        <v>1121</v>
      </c>
      <c r="S15" s="57"/>
      <c r="T15" s="57"/>
      <c r="U15" s="57"/>
      <c r="V15" s="57"/>
      <c r="W15" s="57"/>
      <c r="X15" s="57"/>
      <c r="Y15" s="57"/>
      <c r="Z15" s="57"/>
      <c r="AA15" s="57"/>
      <c r="AB15" s="57"/>
      <c r="AC15" s="57"/>
      <c r="AD15" s="57"/>
      <c r="AE15" s="57"/>
      <c r="AF15" s="65" t="s">
        <v>1122</v>
      </c>
      <c r="AG15" s="65"/>
      <c r="AH15" s="65"/>
      <c r="AI15" s="65"/>
      <c r="AJ15" s="65"/>
      <c r="AK15" s="65"/>
      <c r="AL15" s="65"/>
      <c r="AM15" s="65"/>
      <c r="AN15" s="65"/>
      <c r="AO15" s="65"/>
      <c r="AP15" s="65" t="s">
        <v>1123</v>
      </c>
      <c r="AQ15" s="65"/>
      <c r="AR15" s="65"/>
      <c r="AS15" s="65"/>
      <c r="AT15" s="65"/>
      <c r="AU15" s="65"/>
      <c r="AV15" s="65"/>
      <c r="AW15" s="65"/>
      <c r="AX15" s="65"/>
      <c r="AY15" s="65"/>
      <c r="AZ15" s="65"/>
      <c r="BA15" s="65"/>
      <c r="BB15" s="65"/>
      <c r="BC15" s="65"/>
      <c r="BD15" s="65"/>
      <c r="BE15" s="65"/>
      <c r="BF15" s="65"/>
      <c r="BG15" s="65" t="s">
        <v>1096</v>
      </c>
      <c r="BH15" s="65"/>
      <c r="BI15" s="65"/>
      <c r="BJ15" s="65"/>
      <c r="BK15" s="65" t="s">
        <v>1124</v>
      </c>
      <c r="BL15" s="65"/>
      <c r="BM15" s="60">
        <f t="shared" si="1"/>
        <v>9</v>
      </c>
      <c r="BN15" s="60" t="s">
        <v>1125</v>
      </c>
      <c r="BO15" s="57"/>
    </row>
    <row r="16">
      <c r="A16" s="60" t="s">
        <v>125</v>
      </c>
      <c r="B16" s="92" t="s">
        <v>1064</v>
      </c>
      <c r="C16" s="57"/>
      <c r="D16" s="57"/>
      <c r="E16" s="57"/>
      <c r="F16" s="75" t="s">
        <v>1126</v>
      </c>
      <c r="G16" s="57"/>
      <c r="H16" s="57"/>
      <c r="I16" s="57"/>
      <c r="J16" s="75" t="s">
        <v>1127</v>
      </c>
      <c r="K16" s="65" t="s">
        <v>1128</v>
      </c>
      <c r="L16" s="57"/>
      <c r="M16" s="57"/>
      <c r="N16" s="57"/>
      <c r="O16" s="57"/>
      <c r="P16" s="57"/>
      <c r="Q16" s="57"/>
      <c r="R16" s="57"/>
      <c r="S16" s="57"/>
      <c r="T16" s="65" t="s">
        <v>1129</v>
      </c>
      <c r="U16" s="57"/>
      <c r="V16" s="57"/>
      <c r="W16" s="65" t="s">
        <v>1128</v>
      </c>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0">
        <f t="shared" si="1"/>
        <v>5</v>
      </c>
      <c r="BN16" s="60" t="s">
        <v>1130</v>
      </c>
      <c r="BO16" s="57"/>
    </row>
    <row r="17">
      <c r="A17" s="60" t="s">
        <v>126</v>
      </c>
      <c r="B17" s="92" t="s">
        <v>1064</v>
      </c>
      <c r="C17" s="57"/>
      <c r="D17" s="57"/>
      <c r="E17" s="65" t="s">
        <v>1131</v>
      </c>
      <c r="F17" s="65" t="s">
        <v>1132</v>
      </c>
      <c r="G17" s="57"/>
      <c r="H17" s="57"/>
      <c r="I17" s="57"/>
      <c r="J17" s="65" t="s">
        <v>1133</v>
      </c>
      <c r="K17" s="57"/>
      <c r="L17" s="65" t="s">
        <v>1134</v>
      </c>
      <c r="M17" s="65" t="s">
        <v>1135</v>
      </c>
      <c r="N17" s="57"/>
      <c r="O17" s="57"/>
      <c r="P17" s="57"/>
      <c r="Q17" s="65" t="s">
        <v>1136</v>
      </c>
      <c r="R17" s="57"/>
      <c r="S17" s="57"/>
      <c r="T17" s="57"/>
      <c r="U17" s="57"/>
      <c r="V17" s="57"/>
      <c r="W17" s="57"/>
      <c r="X17" s="57"/>
      <c r="Y17" s="57"/>
      <c r="Z17" s="57"/>
      <c r="AA17" s="57"/>
      <c r="AB17" s="57"/>
      <c r="AC17" s="57"/>
      <c r="AD17" s="57"/>
      <c r="AE17" s="57"/>
      <c r="AF17" s="57"/>
      <c r="AG17" s="57"/>
      <c r="AH17" s="57"/>
      <c r="AI17" s="57"/>
      <c r="AJ17" s="65" t="s">
        <v>1137</v>
      </c>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t="s">
        <v>1138</v>
      </c>
      <c r="BJ17" s="65"/>
      <c r="BK17" s="65"/>
      <c r="BL17" s="65"/>
      <c r="BM17" s="60">
        <f t="shared" si="1"/>
        <v>8</v>
      </c>
      <c r="BN17" s="60" t="s">
        <v>1139</v>
      </c>
      <c r="BO17" s="57"/>
    </row>
    <row r="18">
      <c r="A18" s="60" t="s">
        <v>129</v>
      </c>
      <c r="B18" s="92" t="s">
        <v>1064</v>
      </c>
      <c r="C18" s="57"/>
      <c r="D18" s="57"/>
      <c r="E18" s="65" t="s">
        <v>1096</v>
      </c>
      <c r="F18" s="57"/>
      <c r="G18" s="57"/>
      <c r="H18" s="65" t="s">
        <v>1140</v>
      </c>
      <c r="I18" s="65" t="s">
        <v>1069</v>
      </c>
      <c r="J18" s="57"/>
      <c r="K18" s="57"/>
      <c r="L18" s="57"/>
      <c r="M18" s="57"/>
      <c r="N18" s="57"/>
      <c r="O18" s="57"/>
      <c r="P18" s="57"/>
      <c r="Q18" s="57"/>
      <c r="R18" s="57"/>
      <c r="S18" s="57"/>
      <c r="T18" s="57"/>
      <c r="U18" s="57"/>
      <c r="V18" s="57"/>
      <c r="W18" s="57"/>
      <c r="X18" s="57"/>
      <c r="Y18" s="65" t="s">
        <v>1087</v>
      </c>
      <c r="Z18" s="65"/>
      <c r="AA18" s="65"/>
      <c r="AB18" s="65" t="s">
        <v>1096</v>
      </c>
      <c r="AC18" s="65"/>
      <c r="AD18" s="65" t="s">
        <v>1094</v>
      </c>
      <c r="AE18" s="65"/>
      <c r="AF18" s="65"/>
      <c r="AG18" s="65"/>
      <c r="AH18" s="65" t="s">
        <v>1141</v>
      </c>
      <c r="AI18" s="65"/>
      <c r="AJ18" s="65"/>
      <c r="AK18" s="65"/>
      <c r="AL18" s="65" t="s">
        <v>1096</v>
      </c>
      <c r="AM18" s="65"/>
      <c r="AN18" s="65"/>
      <c r="AO18" s="65"/>
      <c r="AP18" s="65"/>
      <c r="AQ18" s="65"/>
      <c r="AR18" s="65" t="s">
        <v>1142</v>
      </c>
      <c r="AS18" s="65" t="s">
        <v>1143</v>
      </c>
      <c r="AT18" s="65"/>
      <c r="AU18" s="65"/>
      <c r="AV18" s="65"/>
      <c r="AW18" s="65"/>
      <c r="AX18" s="65"/>
      <c r="AY18" s="65"/>
      <c r="AZ18" s="65"/>
      <c r="BA18" s="65"/>
      <c r="BB18" s="65"/>
      <c r="BC18" s="65"/>
      <c r="BD18" s="65"/>
      <c r="BE18" s="65"/>
      <c r="BF18" s="65"/>
      <c r="BG18" s="65"/>
      <c r="BH18" s="65"/>
      <c r="BI18" s="65"/>
      <c r="BJ18" s="65"/>
      <c r="BK18" s="65"/>
      <c r="BL18" s="65"/>
      <c r="BM18" s="60">
        <f t="shared" si="1"/>
        <v>10</v>
      </c>
      <c r="BN18" s="60" t="s">
        <v>1144</v>
      </c>
      <c r="BO18" s="57"/>
    </row>
    <row r="19">
      <c r="A19" s="60" t="s">
        <v>130</v>
      </c>
      <c r="B19" s="92" t="s">
        <v>1064</v>
      </c>
      <c r="C19" s="57"/>
      <c r="D19" s="57"/>
      <c r="E19" s="57"/>
      <c r="F19" s="57"/>
      <c r="G19" s="57"/>
      <c r="H19" s="57"/>
      <c r="I19" s="57"/>
      <c r="J19" s="57"/>
      <c r="K19" s="57"/>
      <c r="L19" s="57"/>
      <c r="M19" s="65" t="s">
        <v>1107</v>
      </c>
      <c r="N19" s="57"/>
      <c r="O19" s="57"/>
      <c r="P19" s="57"/>
      <c r="Q19" s="57"/>
      <c r="R19" s="57"/>
      <c r="S19" s="57"/>
      <c r="T19" s="65" t="s">
        <v>1122</v>
      </c>
      <c r="U19" s="57"/>
      <c r="V19" s="57"/>
      <c r="W19" s="57"/>
      <c r="X19" s="57"/>
      <c r="Y19" s="57"/>
      <c r="Z19" s="57"/>
      <c r="AA19" s="57"/>
      <c r="AB19" s="57"/>
      <c r="AC19" s="57"/>
      <c r="AD19" s="57"/>
      <c r="AE19" s="57"/>
      <c r="AF19" s="57"/>
      <c r="AG19" s="65" t="s">
        <v>1096</v>
      </c>
      <c r="AH19" s="65"/>
      <c r="AI19" s="65"/>
      <c r="AJ19" s="65"/>
      <c r="AK19" s="65"/>
      <c r="AL19" s="65"/>
      <c r="AM19" s="65"/>
      <c r="AN19" s="65"/>
      <c r="AO19" s="65"/>
      <c r="AP19" s="65"/>
      <c r="AQ19" s="65"/>
      <c r="AR19" s="65"/>
      <c r="AS19" s="65"/>
      <c r="AT19" s="65"/>
      <c r="AU19" s="65"/>
      <c r="AV19" s="65" t="s">
        <v>1079</v>
      </c>
      <c r="AW19" s="65"/>
      <c r="AX19" s="65"/>
      <c r="AY19" s="65"/>
      <c r="AZ19" s="65"/>
      <c r="BA19" s="65"/>
      <c r="BB19" s="65"/>
      <c r="BC19" s="65" t="s">
        <v>1085</v>
      </c>
      <c r="BD19" s="65"/>
      <c r="BE19" s="65"/>
      <c r="BF19" s="65"/>
      <c r="BG19" s="65"/>
      <c r="BH19" s="65"/>
      <c r="BI19" s="65"/>
      <c r="BJ19" s="65"/>
      <c r="BK19" s="65"/>
      <c r="BL19" s="65"/>
      <c r="BM19" s="60">
        <f t="shared" si="1"/>
        <v>5</v>
      </c>
      <c r="BN19" s="60" t="s">
        <v>1145</v>
      </c>
      <c r="BO19" s="57"/>
    </row>
    <row r="20">
      <c r="A20" s="60" t="s">
        <v>132</v>
      </c>
      <c r="B20" s="92" t="s">
        <v>1064</v>
      </c>
      <c r="C20" s="57"/>
      <c r="D20" s="57"/>
      <c r="E20" s="57"/>
      <c r="F20" s="65" t="s">
        <v>1126</v>
      </c>
      <c r="G20" s="57"/>
      <c r="H20" s="57"/>
      <c r="I20" s="57"/>
      <c r="J20" s="65" t="s">
        <v>1127</v>
      </c>
      <c r="K20" s="57"/>
      <c r="L20" s="65" t="s">
        <v>1129</v>
      </c>
      <c r="M20" s="57"/>
      <c r="N20" s="57"/>
      <c r="O20" s="65" t="s">
        <v>1146</v>
      </c>
      <c r="P20" s="57"/>
      <c r="Q20" s="57"/>
      <c r="R20" s="57"/>
      <c r="S20" s="57"/>
      <c r="T20" s="65" t="s">
        <v>1128</v>
      </c>
      <c r="U20" s="57"/>
      <c r="V20" s="65" t="s">
        <v>1128</v>
      </c>
      <c r="W20" s="65"/>
      <c r="X20" s="65"/>
      <c r="Y20" s="65"/>
      <c r="Z20" s="65"/>
      <c r="AA20" s="65"/>
      <c r="AB20" s="65"/>
      <c r="AC20" s="65"/>
      <c r="AD20" s="65"/>
      <c r="AE20" s="65"/>
      <c r="AF20" s="65"/>
      <c r="AG20" s="65"/>
      <c r="AH20" s="65"/>
      <c r="AI20" s="65" t="s">
        <v>1129</v>
      </c>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0">
        <f t="shared" si="1"/>
        <v>7</v>
      </c>
      <c r="BN20" s="60" t="s">
        <v>1147</v>
      </c>
      <c r="BO20" s="57"/>
    </row>
    <row r="21">
      <c r="A21" s="60" t="s">
        <v>136</v>
      </c>
      <c r="B21" s="92" t="s">
        <v>1064</v>
      </c>
      <c r="C21" s="57"/>
      <c r="D21" s="65" t="s">
        <v>1148</v>
      </c>
      <c r="E21" s="57"/>
      <c r="F21" s="57"/>
      <c r="G21" s="57"/>
      <c r="H21" s="65" t="s">
        <v>1149</v>
      </c>
      <c r="I21" s="65" t="s">
        <v>1150</v>
      </c>
      <c r="J21" s="65" t="s">
        <v>1091</v>
      </c>
      <c r="K21" s="65" t="s">
        <v>1151</v>
      </c>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65" t="s">
        <v>1152</v>
      </c>
      <c r="AS21" s="65"/>
      <c r="AT21" s="65"/>
      <c r="AU21" s="65"/>
      <c r="AV21" s="65"/>
      <c r="AW21" s="65"/>
      <c r="AX21" s="65"/>
      <c r="AY21" s="65"/>
      <c r="AZ21" s="65"/>
      <c r="BA21" s="65" t="s">
        <v>1087</v>
      </c>
      <c r="BB21" s="65"/>
      <c r="BC21" s="65"/>
      <c r="BD21" s="65"/>
      <c r="BE21" s="65"/>
      <c r="BF21" s="65"/>
      <c r="BG21" s="65"/>
      <c r="BH21" s="65"/>
      <c r="BI21" s="65"/>
      <c r="BJ21" s="65"/>
      <c r="BK21" s="65"/>
      <c r="BL21" s="65" t="s">
        <v>1096</v>
      </c>
      <c r="BM21" s="60">
        <f t="shared" si="1"/>
        <v>8</v>
      </c>
      <c r="BN21" s="60" t="s">
        <v>1153</v>
      </c>
      <c r="BO21" s="57"/>
    </row>
    <row r="22">
      <c r="A22" s="60" t="s">
        <v>139</v>
      </c>
      <c r="B22" s="92" t="s">
        <v>1064</v>
      </c>
      <c r="C22" s="57"/>
      <c r="D22" s="65" t="s">
        <v>1079</v>
      </c>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65" t="s">
        <v>1096</v>
      </c>
      <c r="AE22" s="65"/>
      <c r="AF22" s="65"/>
      <c r="AG22" s="65"/>
      <c r="AH22" s="65"/>
      <c r="AI22" s="65"/>
      <c r="AJ22" s="65"/>
      <c r="AK22" s="65"/>
      <c r="AL22" s="65"/>
      <c r="AM22" s="65"/>
      <c r="AN22" s="65" t="s">
        <v>1154</v>
      </c>
      <c r="AO22" s="65"/>
      <c r="AP22" s="65"/>
      <c r="AQ22" s="65"/>
      <c r="AR22" s="65"/>
      <c r="AS22" s="65"/>
      <c r="AT22" s="65"/>
      <c r="AU22" s="65"/>
      <c r="AV22" s="65"/>
      <c r="AW22" s="65"/>
      <c r="AX22" s="65"/>
      <c r="AY22" s="65"/>
      <c r="AZ22" s="65"/>
      <c r="BA22" s="65"/>
      <c r="BB22" s="65"/>
      <c r="BC22" s="65"/>
      <c r="BD22" s="65" t="s">
        <v>1076</v>
      </c>
      <c r="BE22" s="65"/>
      <c r="BF22" s="65"/>
      <c r="BG22" s="65"/>
      <c r="BH22" s="65"/>
      <c r="BI22" s="65"/>
      <c r="BJ22" s="65"/>
      <c r="BK22" s="65"/>
      <c r="BL22" s="65"/>
      <c r="BM22" s="60">
        <f t="shared" si="1"/>
        <v>4</v>
      </c>
      <c r="BN22" s="60" t="s">
        <v>1155</v>
      </c>
      <c r="BO22" s="57"/>
    </row>
    <row r="23">
      <c r="A23" s="60" t="s">
        <v>142</v>
      </c>
      <c r="B23" s="92" t="s">
        <v>1156</v>
      </c>
      <c r="C23" s="93"/>
      <c r="D23" s="93"/>
      <c r="E23" s="93"/>
      <c r="F23" s="93"/>
      <c r="G23" s="93"/>
      <c r="H23" s="93"/>
      <c r="I23" s="93"/>
      <c r="J23" s="93"/>
      <c r="K23" s="93"/>
      <c r="L23" s="93"/>
      <c r="M23" s="93"/>
      <c r="N23" s="57"/>
      <c r="O23" s="57"/>
      <c r="P23" s="57"/>
      <c r="Q23" s="65" t="s">
        <v>1157</v>
      </c>
      <c r="R23" s="57"/>
      <c r="S23" s="65" t="s">
        <v>1158</v>
      </c>
      <c r="T23" s="57"/>
      <c r="U23" s="57"/>
      <c r="V23" s="57"/>
      <c r="W23" s="57"/>
      <c r="X23" s="57"/>
      <c r="Y23" s="57"/>
      <c r="Z23" s="57"/>
      <c r="AA23" s="57"/>
      <c r="AB23" s="57"/>
      <c r="AC23" s="57"/>
      <c r="AD23" s="57"/>
      <c r="AE23" s="57"/>
      <c r="AF23" s="65" t="s">
        <v>1084</v>
      </c>
      <c r="AG23" s="65"/>
      <c r="AH23" s="65"/>
      <c r="AI23" s="65"/>
      <c r="AJ23" s="65"/>
      <c r="AK23" s="65"/>
      <c r="AL23" s="65"/>
      <c r="AM23" s="65"/>
      <c r="AN23" s="65"/>
      <c r="AO23" s="65"/>
      <c r="AP23" s="65"/>
      <c r="AQ23" s="65"/>
      <c r="AR23" s="65" t="s">
        <v>1075</v>
      </c>
      <c r="AS23" s="65"/>
      <c r="AT23" s="65"/>
      <c r="AU23" s="65"/>
      <c r="AV23" s="65"/>
      <c r="AW23" s="65"/>
      <c r="AX23" s="65"/>
      <c r="AY23" s="65"/>
      <c r="AZ23" s="65"/>
      <c r="BA23" s="65"/>
      <c r="BB23" s="65"/>
      <c r="BC23" s="65"/>
      <c r="BD23" s="65"/>
      <c r="BE23" s="65"/>
      <c r="BF23" s="65"/>
      <c r="BG23" s="65"/>
      <c r="BH23" s="65"/>
      <c r="BI23" s="65"/>
      <c r="BJ23" s="65"/>
      <c r="BK23" s="65"/>
      <c r="BL23" s="65"/>
      <c r="BM23" s="60">
        <f t="shared" si="1"/>
        <v>4</v>
      </c>
      <c r="BN23" s="60" t="s">
        <v>1159</v>
      </c>
      <c r="BO23" s="57"/>
    </row>
    <row r="24">
      <c r="A24" s="60" t="s">
        <v>144</v>
      </c>
      <c r="B24" s="92" t="s">
        <v>1160</v>
      </c>
      <c r="C24" s="93"/>
      <c r="D24" s="94"/>
      <c r="E24" s="93"/>
      <c r="F24" s="93"/>
      <c r="G24" s="93"/>
      <c r="H24" s="93"/>
      <c r="I24" s="94"/>
      <c r="J24" s="94"/>
      <c r="K24" s="93"/>
      <c r="L24" s="94"/>
      <c r="M24" s="93"/>
      <c r="N24" s="93"/>
      <c r="O24" s="94"/>
      <c r="P24" s="93"/>
      <c r="Q24" s="94"/>
      <c r="R24" s="57"/>
      <c r="S24" s="57"/>
      <c r="T24" s="57"/>
      <c r="U24" s="57"/>
      <c r="V24" s="57"/>
      <c r="W24" s="65"/>
      <c r="X24" s="65" t="s">
        <v>1161</v>
      </c>
      <c r="Y24" s="65"/>
      <c r="Z24" s="65"/>
      <c r="AA24" s="65"/>
      <c r="AB24" s="65"/>
      <c r="AC24" s="65"/>
      <c r="AD24" s="65" t="s">
        <v>1162</v>
      </c>
      <c r="AE24" s="65" t="s">
        <v>1163</v>
      </c>
      <c r="AF24" s="65"/>
      <c r="AG24" s="65"/>
      <c r="AH24" s="65"/>
      <c r="AI24" s="65"/>
      <c r="AJ24" s="65"/>
      <c r="AK24" s="65"/>
      <c r="AL24" s="65" t="s">
        <v>1164</v>
      </c>
      <c r="AM24" s="65"/>
      <c r="AN24" s="65" t="s">
        <v>1165</v>
      </c>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0">
        <f t="shared" si="1"/>
        <v>5</v>
      </c>
      <c r="BN24" s="60" t="s">
        <v>1166</v>
      </c>
      <c r="BO24" s="57"/>
    </row>
    <row r="25">
      <c r="A25" s="60" t="s">
        <v>145</v>
      </c>
      <c r="B25" s="95">
        <v>43196.0</v>
      </c>
      <c r="C25" s="93"/>
      <c r="D25" s="93"/>
      <c r="E25" s="93"/>
      <c r="F25" s="93"/>
      <c r="G25" s="93"/>
      <c r="H25" s="93"/>
      <c r="I25" s="93"/>
      <c r="J25" s="93"/>
      <c r="K25" s="93"/>
      <c r="L25" s="93"/>
      <c r="M25" s="93"/>
      <c r="N25" s="93"/>
      <c r="O25" s="93"/>
      <c r="P25" s="93"/>
      <c r="Q25" s="93"/>
      <c r="R25" s="93"/>
      <c r="S25" s="93"/>
      <c r="T25" s="93"/>
      <c r="U25" s="93"/>
      <c r="V25" s="93"/>
      <c r="W25" s="94"/>
      <c r="X25" s="94"/>
      <c r="Y25" s="94"/>
      <c r="Z25" s="94"/>
      <c r="AA25" s="94"/>
      <c r="AB25" s="65"/>
      <c r="AC25" s="65" t="s">
        <v>1122</v>
      </c>
      <c r="AD25" s="65" t="s">
        <v>1162</v>
      </c>
      <c r="AE25" s="65" t="s">
        <v>1167</v>
      </c>
      <c r="AF25" s="65"/>
      <c r="AG25" s="65"/>
      <c r="AH25" s="65" t="s">
        <v>1168</v>
      </c>
      <c r="AI25" s="65" t="s">
        <v>1069</v>
      </c>
      <c r="AJ25" s="65"/>
      <c r="AK25" s="65" t="s">
        <v>1103</v>
      </c>
      <c r="AL25" s="65" t="s">
        <v>1169</v>
      </c>
      <c r="AM25" s="65"/>
      <c r="AN25" s="65" t="s">
        <v>1165</v>
      </c>
      <c r="AO25" s="65"/>
      <c r="AP25" s="65"/>
      <c r="AQ25" s="65" t="s">
        <v>1170</v>
      </c>
      <c r="AR25" s="65" t="s">
        <v>1171</v>
      </c>
      <c r="AS25" s="65" t="s">
        <v>1172</v>
      </c>
      <c r="AT25" s="65"/>
      <c r="AU25" s="65"/>
      <c r="AV25" s="65" t="s">
        <v>1173</v>
      </c>
      <c r="AW25" s="65"/>
      <c r="AX25" s="65"/>
      <c r="AY25" s="65"/>
      <c r="AZ25" s="65"/>
      <c r="BA25" s="65"/>
      <c r="BB25" s="65"/>
      <c r="BC25" s="65"/>
      <c r="BD25" s="65"/>
      <c r="BE25" s="65"/>
      <c r="BF25" s="65"/>
      <c r="BG25" s="65"/>
      <c r="BH25" s="65"/>
      <c r="BI25" s="65"/>
      <c r="BJ25" s="65"/>
      <c r="BK25" s="65"/>
      <c r="BL25" s="65"/>
      <c r="BM25" s="60">
        <f t="shared" si="1"/>
        <v>12</v>
      </c>
      <c r="BN25" s="60" t="s">
        <v>1174</v>
      </c>
      <c r="BO25" s="57"/>
    </row>
    <row r="26">
      <c r="A26" s="60" t="s">
        <v>147</v>
      </c>
      <c r="B26" s="92" t="s">
        <v>1064</v>
      </c>
      <c r="C26" s="65" t="s">
        <v>1175</v>
      </c>
      <c r="D26" s="57"/>
      <c r="E26" s="57"/>
      <c r="F26" s="65" t="s">
        <v>1066</v>
      </c>
      <c r="G26" s="57"/>
      <c r="H26" s="57"/>
      <c r="I26" s="57"/>
      <c r="J26" s="57"/>
      <c r="K26" s="65" t="s">
        <v>1176</v>
      </c>
      <c r="L26" s="65" t="s">
        <v>1177</v>
      </c>
      <c r="M26" s="57"/>
      <c r="N26" s="57"/>
      <c r="O26" s="57"/>
      <c r="P26" s="57"/>
      <c r="Q26" s="57"/>
      <c r="R26" s="57"/>
      <c r="S26" s="57"/>
      <c r="T26" s="57"/>
      <c r="U26" s="57"/>
      <c r="V26" s="57"/>
      <c r="W26" s="57"/>
      <c r="X26" s="57"/>
      <c r="Y26" s="57"/>
      <c r="Z26" s="65" t="s">
        <v>1178</v>
      </c>
      <c r="AA26" s="65"/>
      <c r="AB26" s="65"/>
      <c r="AC26" s="65" t="s">
        <v>1069</v>
      </c>
      <c r="AD26" s="65"/>
      <c r="AE26" s="65"/>
      <c r="AF26" s="65"/>
      <c r="AG26" s="65"/>
      <c r="AH26" s="65"/>
      <c r="AI26" s="65"/>
      <c r="AJ26" s="65"/>
      <c r="AK26" s="65"/>
      <c r="AL26" s="65"/>
      <c r="AM26" s="65"/>
      <c r="AN26" s="65"/>
      <c r="AO26" s="65"/>
      <c r="AP26" s="65" t="s">
        <v>1179</v>
      </c>
      <c r="AQ26" s="65"/>
      <c r="AR26" s="65"/>
      <c r="AS26" s="65"/>
      <c r="AT26" s="65"/>
      <c r="AU26" s="65"/>
      <c r="AV26" s="65"/>
      <c r="AW26" s="65"/>
      <c r="AX26" s="65"/>
      <c r="AY26" s="65"/>
      <c r="AZ26" s="65"/>
      <c r="BA26" s="65"/>
      <c r="BB26" s="65"/>
      <c r="BC26" s="65"/>
      <c r="BD26" s="65"/>
      <c r="BE26" s="65"/>
      <c r="BF26" s="65"/>
      <c r="BG26" s="65"/>
      <c r="BH26" s="65"/>
      <c r="BI26" s="65"/>
      <c r="BJ26" s="65"/>
      <c r="BK26" s="65"/>
      <c r="BL26" s="65"/>
      <c r="BM26" s="60">
        <f t="shared" si="1"/>
        <v>7</v>
      </c>
      <c r="BN26" s="60" t="s">
        <v>1180</v>
      </c>
      <c r="BO26" s="57"/>
    </row>
    <row r="27">
      <c r="A27" s="60" t="s">
        <v>150</v>
      </c>
      <c r="B27" s="92" t="s">
        <v>1181</v>
      </c>
      <c r="C27" s="93"/>
      <c r="D27" s="94"/>
      <c r="E27" s="93"/>
      <c r="F27" s="93"/>
      <c r="G27" s="93"/>
      <c r="H27" s="94"/>
      <c r="I27" s="94"/>
      <c r="J27" s="93"/>
      <c r="K27" s="93"/>
      <c r="L27" s="93"/>
      <c r="M27" s="93"/>
      <c r="N27" s="94"/>
      <c r="O27" s="93"/>
      <c r="P27" s="93"/>
      <c r="Q27" s="93"/>
      <c r="R27" s="94"/>
      <c r="S27" s="93"/>
      <c r="T27" s="93"/>
      <c r="U27" s="93"/>
      <c r="V27" s="93"/>
      <c r="W27" s="93"/>
      <c r="X27" s="93"/>
      <c r="Y27" s="93"/>
      <c r="Z27" s="93"/>
      <c r="AA27" s="93"/>
      <c r="AB27" s="93"/>
      <c r="AC27" s="93"/>
      <c r="AD27" s="93"/>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65"/>
      <c r="BE27" s="65" t="s">
        <v>1110</v>
      </c>
      <c r="BF27" s="65"/>
      <c r="BG27" s="65"/>
      <c r="BH27" s="65" t="s">
        <v>1141</v>
      </c>
      <c r="BI27" s="65"/>
      <c r="BJ27" s="65"/>
      <c r="BK27" s="65"/>
      <c r="BL27" s="65"/>
      <c r="BM27" s="60">
        <f t="shared" si="1"/>
        <v>2</v>
      </c>
      <c r="BN27" s="60" t="s">
        <v>1182</v>
      </c>
      <c r="BO27" s="57"/>
    </row>
    <row r="28">
      <c r="A28" s="60" t="s">
        <v>152</v>
      </c>
      <c r="B28" s="92" t="s">
        <v>1183</v>
      </c>
      <c r="C28" s="93"/>
      <c r="D28" s="93"/>
      <c r="E28" s="93"/>
      <c r="F28" s="93"/>
      <c r="G28" s="93"/>
      <c r="H28" s="93"/>
      <c r="I28" s="57"/>
      <c r="J28" s="65" t="s">
        <v>1184</v>
      </c>
      <c r="K28" s="57"/>
      <c r="L28" s="57"/>
      <c r="M28" s="57"/>
      <c r="N28" s="57"/>
      <c r="O28" s="57"/>
      <c r="P28" s="57"/>
      <c r="Q28" s="57"/>
      <c r="R28" s="57"/>
      <c r="S28" s="57"/>
      <c r="T28" s="57"/>
      <c r="U28" s="57"/>
      <c r="V28" s="57"/>
      <c r="W28" s="57"/>
      <c r="X28" s="57"/>
      <c r="Y28" s="57"/>
      <c r="Z28" s="57"/>
      <c r="AA28" s="57"/>
      <c r="AB28" s="57"/>
      <c r="AC28" s="57"/>
      <c r="AD28" s="57"/>
      <c r="AE28" s="57"/>
      <c r="AF28" s="65" t="s">
        <v>1087</v>
      </c>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t="s">
        <v>1081</v>
      </c>
      <c r="BE28" s="65"/>
      <c r="BF28" s="65"/>
      <c r="BG28" s="65" t="s">
        <v>1185</v>
      </c>
      <c r="BH28" s="65"/>
      <c r="BI28" s="65"/>
      <c r="BJ28" s="65"/>
      <c r="BK28" s="65"/>
      <c r="BL28" s="65" t="s">
        <v>1186</v>
      </c>
      <c r="BM28" s="60">
        <f t="shared" si="1"/>
        <v>5</v>
      </c>
      <c r="BN28" s="60" t="s">
        <v>1187</v>
      </c>
      <c r="BO28" s="57"/>
    </row>
    <row r="29">
      <c r="A29" s="60" t="s">
        <v>153</v>
      </c>
      <c r="B29" s="92" t="s">
        <v>1064</v>
      </c>
      <c r="C29" s="57"/>
      <c r="D29" s="65" t="s">
        <v>1188</v>
      </c>
      <c r="E29" s="57"/>
      <c r="F29" s="65" t="s">
        <v>1189</v>
      </c>
      <c r="G29" s="57"/>
      <c r="H29" s="57"/>
      <c r="I29" s="57"/>
      <c r="J29" s="57"/>
      <c r="K29" s="57"/>
      <c r="L29" s="65" t="s">
        <v>1190</v>
      </c>
      <c r="M29" s="57"/>
      <c r="N29" s="57"/>
      <c r="O29" s="57"/>
      <c r="P29" s="65" t="s">
        <v>1085</v>
      </c>
      <c r="Q29" s="57"/>
      <c r="R29" s="57"/>
      <c r="S29" s="57"/>
      <c r="T29" s="57"/>
      <c r="U29" s="57"/>
      <c r="V29" s="57"/>
      <c r="W29" s="57"/>
      <c r="X29" s="57"/>
      <c r="Y29" s="57"/>
      <c r="Z29" s="57"/>
      <c r="AA29" s="57"/>
      <c r="AB29" s="57"/>
      <c r="AC29" s="57"/>
      <c r="AD29" s="57"/>
      <c r="AE29" s="57"/>
      <c r="AF29" s="57"/>
      <c r="AG29" s="57"/>
      <c r="AH29" s="57"/>
      <c r="AI29" s="57"/>
      <c r="AJ29" s="65" t="s">
        <v>1086</v>
      </c>
      <c r="AK29" s="65"/>
      <c r="AL29" s="65"/>
      <c r="AM29" s="65"/>
      <c r="AN29" s="65"/>
      <c r="AO29" s="65"/>
      <c r="AP29" s="65"/>
      <c r="AQ29" s="65"/>
      <c r="AR29" s="65" t="s">
        <v>1149</v>
      </c>
      <c r="AS29" s="65"/>
      <c r="AT29" s="65"/>
      <c r="AU29" s="65"/>
      <c r="AV29" s="65"/>
      <c r="AW29" s="65"/>
      <c r="AX29" s="65"/>
      <c r="AY29" s="65"/>
      <c r="AZ29" s="65"/>
      <c r="BA29" s="65"/>
      <c r="BB29" s="65"/>
      <c r="BC29" s="65"/>
      <c r="BD29" s="65"/>
      <c r="BE29" s="65"/>
      <c r="BF29" s="65"/>
      <c r="BG29" s="65"/>
      <c r="BH29" s="65"/>
      <c r="BI29" s="65"/>
      <c r="BJ29" s="65"/>
      <c r="BK29" s="65"/>
      <c r="BL29" s="65"/>
      <c r="BM29" s="60">
        <f t="shared" si="1"/>
        <v>6</v>
      </c>
      <c r="BN29" s="60" t="s">
        <v>1191</v>
      </c>
      <c r="BO29" s="57"/>
    </row>
    <row r="30">
      <c r="A30" s="60" t="s">
        <v>177</v>
      </c>
      <c r="B30" s="92" t="s">
        <v>1064</v>
      </c>
      <c r="C30" s="57"/>
      <c r="D30" s="65" t="s">
        <v>1192</v>
      </c>
      <c r="E30" s="57"/>
      <c r="F30" s="57"/>
      <c r="G30" s="57"/>
      <c r="H30" s="57"/>
      <c r="I30" s="57"/>
      <c r="J30" s="57"/>
      <c r="K30" s="57"/>
      <c r="L30" s="65" t="s">
        <v>1096</v>
      </c>
      <c r="M30" s="57"/>
      <c r="N30" s="57"/>
      <c r="O30" s="57"/>
      <c r="P30" s="57"/>
      <c r="Q30" s="57"/>
      <c r="R30" s="65" t="s">
        <v>1193</v>
      </c>
      <c r="S30" s="65" t="s">
        <v>1122</v>
      </c>
      <c r="T30" s="57"/>
      <c r="U30" s="57"/>
      <c r="V30" s="57"/>
      <c r="W30" s="57"/>
      <c r="X30" s="57"/>
      <c r="Y30" s="57"/>
      <c r="Z30" s="57"/>
      <c r="AA30" s="57"/>
      <c r="AB30" s="57"/>
      <c r="AC30" s="57"/>
      <c r="AD30" s="65" t="s">
        <v>1194</v>
      </c>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0">
        <f t="shared" si="1"/>
        <v>5</v>
      </c>
      <c r="BN30" s="60" t="s">
        <v>1195</v>
      </c>
      <c r="BO30" s="57"/>
    </row>
    <row r="31">
      <c r="A31" s="60" t="s">
        <v>178</v>
      </c>
      <c r="B31" s="92" t="s">
        <v>1064</v>
      </c>
      <c r="C31" s="57"/>
      <c r="D31" s="57"/>
      <c r="E31" s="57"/>
      <c r="F31" s="57"/>
      <c r="G31" s="65" t="s">
        <v>1196</v>
      </c>
      <c r="H31" s="57"/>
      <c r="I31" s="57"/>
      <c r="J31" s="57"/>
      <c r="K31" s="57"/>
      <c r="L31" s="65" t="s">
        <v>1197</v>
      </c>
      <c r="M31" s="57"/>
      <c r="N31" s="57"/>
      <c r="O31" s="57"/>
      <c r="P31" s="57"/>
      <c r="Q31" s="57"/>
      <c r="R31" s="65" t="s">
        <v>1173</v>
      </c>
      <c r="S31" s="57"/>
      <c r="T31" s="57"/>
      <c r="U31" s="57"/>
      <c r="V31" s="57"/>
      <c r="W31" s="57"/>
      <c r="X31" s="57"/>
      <c r="Y31" s="57"/>
      <c r="Z31" s="65" t="s">
        <v>1090</v>
      </c>
      <c r="AA31" s="65"/>
      <c r="AB31" s="65"/>
      <c r="AC31" s="65"/>
      <c r="AD31" s="65"/>
      <c r="AE31" s="65"/>
      <c r="AF31" s="65"/>
      <c r="AG31" s="65"/>
      <c r="AH31" s="65"/>
      <c r="AI31" s="65"/>
      <c r="AJ31" s="65"/>
      <c r="AK31" s="65"/>
      <c r="AL31" s="65"/>
      <c r="AM31" s="65"/>
      <c r="AN31" s="65"/>
      <c r="AO31" s="65" t="s">
        <v>1198</v>
      </c>
      <c r="AP31" s="65"/>
      <c r="AQ31" s="65"/>
      <c r="AR31" s="65"/>
      <c r="AS31" s="65"/>
      <c r="AT31" s="65"/>
      <c r="AU31" s="65"/>
      <c r="AV31" s="65"/>
      <c r="AW31" s="65"/>
      <c r="AX31" s="65"/>
      <c r="AY31" s="65"/>
      <c r="AZ31" s="65"/>
      <c r="BA31" s="65"/>
      <c r="BB31" s="65"/>
      <c r="BC31" s="65"/>
      <c r="BD31" s="65"/>
      <c r="BE31" s="65"/>
      <c r="BF31" s="65"/>
      <c r="BG31" s="65"/>
      <c r="BH31" s="65"/>
      <c r="BI31" s="65"/>
      <c r="BJ31" s="65"/>
      <c r="BK31" s="65" t="s">
        <v>1199</v>
      </c>
      <c r="BL31" s="65" t="s">
        <v>1200</v>
      </c>
      <c r="BM31" s="60">
        <f t="shared" si="1"/>
        <v>7</v>
      </c>
      <c r="BN31" s="60" t="s">
        <v>1201</v>
      </c>
      <c r="BO31" s="57"/>
    </row>
    <row r="32">
      <c r="A32" s="60" t="s">
        <v>179</v>
      </c>
      <c r="B32" s="92" t="s">
        <v>1064</v>
      </c>
      <c r="C32" s="57"/>
      <c r="D32" s="65" t="s">
        <v>1202</v>
      </c>
      <c r="E32" s="57"/>
      <c r="F32" s="57"/>
      <c r="G32" s="57"/>
      <c r="H32" s="57"/>
      <c r="I32" s="57"/>
      <c r="J32" s="65"/>
      <c r="K32" s="75" t="s">
        <v>1173</v>
      </c>
      <c r="L32" s="57"/>
      <c r="M32" s="65" t="s">
        <v>1087</v>
      </c>
      <c r="N32" s="57"/>
      <c r="O32" s="57"/>
      <c r="P32" s="57"/>
      <c r="Q32" s="57"/>
      <c r="R32" s="57"/>
      <c r="S32" s="57"/>
      <c r="T32" s="65" t="s">
        <v>1203</v>
      </c>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65" t="s">
        <v>1204</v>
      </c>
      <c r="AT32" s="65" t="s">
        <v>1075</v>
      </c>
      <c r="AU32" s="65"/>
      <c r="AV32" s="65"/>
      <c r="AW32" s="65"/>
      <c r="AX32" s="65"/>
      <c r="AY32" s="65"/>
      <c r="AZ32" s="65"/>
      <c r="BA32" s="65"/>
      <c r="BB32" s="65"/>
      <c r="BC32" s="65"/>
      <c r="BD32" s="65"/>
      <c r="BE32" s="65"/>
      <c r="BF32" s="65"/>
      <c r="BG32" s="65"/>
      <c r="BH32" s="65"/>
      <c r="BI32" s="65"/>
      <c r="BJ32" s="65"/>
      <c r="BK32" s="65"/>
      <c r="BL32" s="65"/>
      <c r="BM32" s="60">
        <f t="shared" si="1"/>
        <v>6</v>
      </c>
      <c r="BN32" s="60" t="s">
        <v>1205</v>
      </c>
      <c r="BO32" s="57"/>
    </row>
    <row r="33">
      <c r="A33" s="60" t="s">
        <v>180</v>
      </c>
      <c r="B33" s="92" t="s">
        <v>1183</v>
      </c>
      <c r="C33" s="93"/>
      <c r="D33" s="93"/>
      <c r="E33" s="93"/>
      <c r="F33" s="93"/>
      <c r="G33" s="93"/>
      <c r="H33" s="93"/>
      <c r="I33" s="57"/>
      <c r="J33" s="65" t="s">
        <v>1190</v>
      </c>
      <c r="K33" s="57"/>
      <c r="L33" s="65" t="s">
        <v>1206</v>
      </c>
      <c r="M33" s="65" t="s">
        <v>1207</v>
      </c>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65" t="s">
        <v>1208</v>
      </c>
      <c r="AS33" s="65"/>
      <c r="AT33" s="65"/>
      <c r="AU33" s="65"/>
      <c r="AV33" s="65"/>
      <c r="AW33" s="65"/>
      <c r="AX33" s="65"/>
      <c r="AY33" s="65"/>
      <c r="AZ33" s="65"/>
      <c r="BA33" s="65" t="s">
        <v>1068</v>
      </c>
      <c r="BB33" s="65"/>
      <c r="BC33" s="65"/>
      <c r="BD33" s="65"/>
      <c r="BE33" s="65"/>
      <c r="BF33" s="65" t="s">
        <v>1072</v>
      </c>
      <c r="BG33" s="65"/>
      <c r="BH33" s="65"/>
      <c r="BI33" s="65"/>
      <c r="BJ33" s="65"/>
      <c r="BK33" s="65"/>
      <c r="BL33" s="65"/>
      <c r="BM33" s="60">
        <f t="shared" si="1"/>
        <v>6</v>
      </c>
      <c r="BN33" s="60" t="s">
        <v>1209</v>
      </c>
      <c r="BO33" s="57"/>
    </row>
    <row r="34">
      <c r="A34" s="60" t="s">
        <v>184</v>
      </c>
      <c r="B34" s="92" t="s">
        <v>1064</v>
      </c>
      <c r="C34" s="57"/>
      <c r="D34" s="57"/>
      <c r="E34" s="65" t="s">
        <v>1210</v>
      </c>
      <c r="F34" s="75" t="s">
        <v>1066</v>
      </c>
      <c r="G34" s="65" t="s">
        <v>1211</v>
      </c>
      <c r="H34" s="57"/>
      <c r="I34" s="57"/>
      <c r="J34" s="57"/>
      <c r="K34" s="57"/>
      <c r="L34" s="57"/>
      <c r="M34" s="65" t="s">
        <v>1212</v>
      </c>
      <c r="N34" s="57"/>
      <c r="O34" s="57"/>
      <c r="P34" s="57"/>
      <c r="Q34" s="57"/>
      <c r="R34" s="57"/>
      <c r="S34" s="65" t="s">
        <v>1110</v>
      </c>
      <c r="T34" s="57"/>
      <c r="U34" s="57"/>
      <c r="V34" s="57"/>
      <c r="W34" s="57"/>
      <c r="X34" s="57"/>
      <c r="Y34" s="57"/>
      <c r="Z34" s="65" t="s">
        <v>1068</v>
      </c>
      <c r="AA34" s="65"/>
      <c r="AB34" s="65"/>
      <c r="AC34" s="65" t="s">
        <v>1069</v>
      </c>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t="s">
        <v>1072</v>
      </c>
      <c r="BG34" s="65"/>
      <c r="BH34" s="65"/>
      <c r="BI34" s="65"/>
      <c r="BJ34" s="65"/>
      <c r="BK34" s="65"/>
      <c r="BL34" s="65"/>
      <c r="BM34" s="60">
        <f t="shared" si="1"/>
        <v>8</v>
      </c>
      <c r="BN34" s="60" t="s">
        <v>1213</v>
      </c>
      <c r="BO34" s="57"/>
    </row>
    <row r="35">
      <c r="A35" s="60" t="s">
        <v>186</v>
      </c>
      <c r="B35" s="92" t="s">
        <v>1214</v>
      </c>
      <c r="C35" s="93"/>
      <c r="D35" s="93"/>
      <c r="E35" s="93"/>
      <c r="F35" s="93"/>
      <c r="G35" s="93"/>
      <c r="H35" s="93"/>
      <c r="I35" s="93"/>
      <c r="J35" s="93"/>
      <c r="K35" s="93"/>
      <c r="L35" s="93"/>
      <c r="M35" s="93"/>
      <c r="N35" s="93"/>
      <c r="O35" s="93"/>
      <c r="P35" s="94"/>
      <c r="Q35" s="93"/>
      <c r="R35" s="93"/>
      <c r="S35" s="94"/>
      <c r="T35" s="93"/>
      <c r="U35" s="57"/>
      <c r="V35" s="57"/>
      <c r="W35" s="65" t="s">
        <v>1215</v>
      </c>
      <c r="X35" s="65" t="s">
        <v>1129</v>
      </c>
      <c r="Y35" s="65"/>
      <c r="Z35" s="65"/>
      <c r="AA35" s="65" t="s">
        <v>1084</v>
      </c>
      <c r="AB35" s="65"/>
      <c r="AC35" s="65"/>
      <c r="AD35" s="65"/>
      <c r="AE35" s="65"/>
      <c r="AF35" s="65"/>
      <c r="AG35" s="65"/>
      <c r="AH35" s="65"/>
      <c r="AI35" s="65"/>
      <c r="AJ35" s="65"/>
      <c r="AK35" s="65"/>
      <c r="AL35" s="65"/>
      <c r="AM35" s="65"/>
      <c r="AN35" s="65" t="s">
        <v>1074</v>
      </c>
      <c r="AO35" s="65"/>
      <c r="AP35" s="65"/>
      <c r="AQ35" s="65"/>
      <c r="AR35" s="65"/>
      <c r="AS35" s="65"/>
      <c r="AT35" s="65"/>
      <c r="AU35" s="65"/>
      <c r="AV35" s="65"/>
      <c r="AW35" s="65"/>
      <c r="AX35" s="65"/>
      <c r="AY35" s="65"/>
      <c r="AZ35" s="65"/>
      <c r="BA35" s="65"/>
      <c r="BB35" s="65"/>
      <c r="BC35" s="65"/>
      <c r="BD35" s="65" t="s">
        <v>1076</v>
      </c>
      <c r="BE35" s="65"/>
      <c r="BF35" s="65" t="s">
        <v>1141</v>
      </c>
      <c r="BG35" s="65"/>
      <c r="BH35" s="65"/>
      <c r="BI35" s="65"/>
      <c r="BJ35" s="65" t="s">
        <v>1216</v>
      </c>
      <c r="BK35" s="65"/>
      <c r="BL35" s="65"/>
      <c r="BM35" s="60">
        <f t="shared" si="1"/>
        <v>7</v>
      </c>
      <c r="BN35" s="60" t="s">
        <v>1217</v>
      </c>
      <c r="BO35" s="57"/>
    </row>
    <row r="36">
      <c r="A36" s="60" t="s">
        <v>188</v>
      </c>
      <c r="B36" s="92" t="s">
        <v>1064</v>
      </c>
      <c r="C36" s="57"/>
      <c r="D36" s="57"/>
      <c r="E36" s="57"/>
      <c r="F36" s="57"/>
      <c r="G36" s="57"/>
      <c r="H36" s="57"/>
      <c r="I36" s="57"/>
      <c r="K36" s="65" t="s">
        <v>1110</v>
      </c>
      <c r="L36" s="57"/>
      <c r="M36" s="57"/>
      <c r="N36" s="57"/>
      <c r="O36" s="57"/>
      <c r="P36" s="57"/>
      <c r="Q36" s="57"/>
      <c r="R36" s="57"/>
      <c r="S36" s="57"/>
      <c r="T36" s="57"/>
      <c r="U36" s="57"/>
      <c r="V36" s="57"/>
      <c r="W36" s="57"/>
      <c r="X36" s="57"/>
      <c r="Y36" s="57"/>
      <c r="Z36" s="65" t="s">
        <v>1218</v>
      </c>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0">
        <f t="shared" si="1"/>
        <v>2</v>
      </c>
      <c r="BN36" s="60" t="s">
        <v>1219</v>
      </c>
      <c r="BO36" s="57"/>
    </row>
    <row r="37">
      <c r="A37" s="60" t="s">
        <v>189</v>
      </c>
      <c r="B37" s="92" t="s">
        <v>1220</v>
      </c>
      <c r="C37" s="94"/>
      <c r="D37" s="93"/>
      <c r="E37" s="93"/>
      <c r="F37" s="93"/>
      <c r="G37" s="93"/>
      <c r="H37" s="94"/>
      <c r="I37" s="93"/>
      <c r="J37" s="96"/>
      <c r="K37" s="94"/>
      <c r="L37" s="93"/>
      <c r="M37" s="94"/>
      <c r="N37" s="93"/>
      <c r="O37" s="93"/>
      <c r="P37" s="93"/>
      <c r="Q37" s="93"/>
      <c r="R37" s="93"/>
      <c r="S37" s="93"/>
      <c r="T37" s="93"/>
      <c r="U37" s="93"/>
      <c r="V37" s="93"/>
      <c r="W37" s="93"/>
      <c r="X37" s="93"/>
      <c r="Y37" s="93"/>
      <c r="Z37" s="94"/>
      <c r="AA37" s="94"/>
      <c r="AB37" s="94"/>
      <c r="AC37" s="94"/>
      <c r="AD37" s="94"/>
      <c r="AE37" s="94"/>
      <c r="AF37" s="94"/>
      <c r="AG37" s="94"/>
      <c r="AH37" s="94"/>
      <c r="AI37" s="94"/>
      <c r="AJ37" s="94"/>
      <c r="AK37" s="94"/>
      <c r="AL37" s="94"/>
      <c r="AM37" s="65"/>
      <c r="AN37" s="65" t="s">
        <v>1221</v>
      </c>
      <c r="AO37" s="65"/>
      <c r="AP37" s="65" t="s">
        <v>1222</v>
      </c>
      <c r="AQ37" s="65"/>
      <c r="AR37" s="65"/>
      <c r="AS37" s="65"/>
      <c r="AT37" s="65"/>
      <c r="AU37" s="65" t="s">
        <v>1223</v>
      </c>
      <c r="AV37" s="65" t="s">
        <v>1224</v>
      </c>
      <c r="AW37" s="65"/>
      <c r="AX37" s="65"/>
      <c r="AY37" s="65"/>
      <c r="AZ37" s="65"/>
      <c r="BA37" s="65"/>
      <c r="BB37" s="65"/>
      <c r="BC37" s="65"/>
      <c r="BD37" s="65" t="s">
        <v>1081</v>
      </c>
      <c r="BE37" s="65"/>
      <c r="BF37" s="65"/>
      <c r="BG37" s="65"/>
      <c r="BH37" s="65"/>
      <c r="BI37" s="65"/>
      <c r="BJ37" s="65"/>
      <c r="BK37" s="65"/>
      <c r="BL37" s="65"/>
      <c r="BM37" s="60">
        <f t="shared" si="1"/>
        <v>5</v>
      </c>
      <c r="BN37" s="60" t="s">
        <v>1225</v>
      </c>
      <c r="BO37" s="57"/>
    </row>
    <row r="38">
      <c r="A38" s="60" t="s">
        <v>190</v>
      </c>
      <c r="B38" s="92" t="s">
        <v>1064</v>
      </c>
      <c r="C38" s="65" t="s">
        <v>1226</v>
      </c>
      <c r="D38" s="57"/>
      <c r="E38" s="57"/>
      <c r="F38" s="65" t="s">
        <v>1227</v>
      </c>
      <c r="G38" s="57"/>
      <c r="H38" s="65" t="s">
        <v>1087</v>
      </c>
      <c r="I38" s="57"/>
      <c r="J38" s="65" t="s">
        <v>1228</v>
      </c>
      <c r="K38" s="65" t="s">
        <v>1167</v>
      </c>
      <c r="L38" s="57"/>
      <c r="M38" s="57"/>
      <c r="N38" s="57"/>
      <c r="O38" s="57"/>
      <c r="P38" s="57"/>
      <c r="Q38" s="57"/>
      <c r="R38" s="57"/>
      <c r="S38" s="57"/>
      <c r="T38" s="65" t="s">
        <v>1210</v>
      </c>
      <c r="U38" s="57"/>
      <c r="V38" s="57"/>
      <c r="W38" s="65" t="s">
        <v>1229</v>
      </c>
      <c r="X38" s="65"/>
      <c r="Y38" s="65"/>
      <c r="Z38" s="65"/>
      <c r="AA38" s="65"/>
      <c r="AB38" s="65"/>
      <c r="AC38" s="65"/>
      <c r="AD38" s="65"/>
      <c r="AE38" s="65"/>
      <c r="AF38" s="65" t="s">
        <v>1230</v>
      </c>
      <c r="AG38" s="65"/>
      <c r="AH38" s="65" t="s">
        <v>1231</v>
      </c>
      <c r="AI38" s="65"/>
      <c r="AJ38" s="65"/>
      <c r="AK38" s="65"/>
      <c r="AL38" s="65"/>
      <c r="AM38" s="65"/>
      <c r="AN38" s="65"/>
      <c r="AO38" s="65" t="s">
        <v>1232</v>
      </c>
      <c r="AP38" s="65"/>
      <c r="AQ38" s="65"/>
      <c r="AR38" s="65"/>
      <c r="AS38" s="65"/>
      <c r="AT38" s="65"/>
      <c r="AU38" s="65" t="s">
        <v>1233</v>
      </c>
      <c r="AV38" s="65" t="s">
        <v>1234</v>
      </c>
      <c r="AW38" s="65" t="s">
        <v>1235</v>
      </c>
      <c r="AX38" s="65"/>
      <c r="AY38" s="65"/>
      <c r="AZ38" s="65" t="s">
        <v>1236</v>
      </c>
      <c r="BA38" s="65"/>
      <c r="BB38" s="65"/>
      <c r="BC38" s="65"/>
      <c r="BD38" s="65"/>
      <c r="BE38" s="65"/>
      <c r="BF38" s="65"/>
      <c r="BG38" s="65"/>
      <c r="BH38" s="65"/>
      <c r="BI38" s="65"/>
      <c r="BJ38" s="65" t="s">
        <v>1237</v>
      </c>
      <c r="BK38" s="65" t="s">
        <v>1122</v>
      </c>
      <c r="BL38" s="65"/>
      <c r="BM38" s="60">
        <f t="shared" si="1"/>
        <v>16</v>
      </c>
      <c r="BN38" s="60" t="s">
        <v>1238</v>
      </c>
      <c r="BO38" s="57"/>
    </row>
    <row r="39">
      <c r="A39" s="60" t="s">
        <v>192</v>
      </c>
      <c r="B39" s="92" t="s">
        <v>1239</v>
      </c>
      <c r="C39" s="93"/>
      <c r="D39" s="93"/>
      <c r="E39" s="93"/>
      <c r="F39" s="93"/>
      <c r="G39" s="57"/>
      <c r="H39" s="65" t="s">
        <v>1240</v>
      </c>
      <c r="I39" s="57"/>
      <c r="J39" s="57"/>
      <c r="K39" s="57"/>
      <c r="L39" s="57"/>
      <c r="M39" s="65" t="s">
        <v>1241</v>
      </c>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65" t="s">
        <v>1067</v>
      </c>
      <c r="AQ39" s="65"/>
      <c r="AR39" s="65"/>
      <c r="AS39" s="65"/>
      <c r="AT39" s="65"/>
      <c r="AU39" s="65"/>
      <c r="AV39" s="65"/>
      <c r="AW39" s="65"/>
      <c r="AX39" s="65"/>
      <c r="AY39" s="65"/>
      <c r="AZ39" s="65"/>
      <c r="BA39" s="65"/>
      <c r="BB39" s="65"/>
      <c r="BC39" s="65"/>
      <c r="BD39" s="65"/>
      <c r="BE39" s="65"/>
      <c r="BF39" s="65"/>
      <c r="BG39" s="65"/>
      <c r="BH39" s="65"/>
      <c r="BI39" s="65"/>
      <c r="BJ39" s="65"/>
      <c r="BK39" s="65"/>
      <c r="BL39" s="65"/>
      <c r="BM39" s="60">
        <f t="shared" si="1"/>
        <v>3</v>
      </c>
      <c r="BN39" s="60" t="s">
        <v>1242</v>
      </c>
      <c r="BO39" s="57"/>
    </row>
    <row r="40">
      <c r="A40" s="60" t="s">
        <v>196</v>
      </c>
      <c r="B40" s="92" t="s">
        <v>1064</v>
      </c>
      <c r="C40" s="65" t="s">
        <v>1243</v>
      </c>
      <c r="D40" s="65" t="s">
        <v>1244</v>
      </c>
      <c r="E40" s="65" t="s">
        <v>1245</v>
      </c>
      <c r="F40" s="57"/>
      <c r="G40" s="57"/>
      <c r="H40" s="57"/>
      <c r="I40" s="65" t="s">
        <v>1246</v>
      </c>
      <c r="J40" s="57"/>
      <c r="K40" s="65" t="s">
        <v>1247</v>
      </c>
      <c r="L40" s="57"/>
      <c r="M40" s="57"/>
      <c r="N40" s="57"/>
      <c r="O40" s="57"/>
      <c r="P40" s="57"/>
      <c r="Q40" s="57"/>
      <c r="R40" s="65" t="s">
        <v>1248</v>
      </c>
      <c r="S40" s="57"/>
      <c r="T40" s="57"/>
      <c r="U40" s="57"/>
      <c r="V40" s="57"/>
      <c r="W40" s="57"/>
      <c r="X40" s="65" t="s">
        <v>1249</v>
      </c>
      <c r="Y40" s="65"/>
      <c r="Z40" s="65"/>
      <c r="AA40" s="65" t="s">
        <v>1250</v>
      </c>
      <c r="AB40" s="65"/>
      <c r="AC40" s="65"/>
      <c r="AD40" s="65"/>
      <c r="AE40" s="65"/>
      <c r="AF40" s="65" t="s">
        <v>1251</v>
      </c>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0">
        <f t="shared" si="1"/>
        <v>9</v>
      </c>
      <c r="BN40" s="60" t="s">
        <v>1252</v>
      </c>
      <c r="BO40" s="57"/>
    </row>
    <row r="41">
      <c r="A41" s="60" t="s">
        <v>199</v>
      </c>
      <c r="B41" s="92" t="s">
        <v>1064</v>
      </c>
      <c r="C41" s="57"/>
      <c r="D41" s="57"/>
      <c r="E41" s="57"/>
      <c r="F41" s="65" t="s">
        <v>1066</v>
      </c>
      <c r="G41" s="57"/>
      <c r="H41" s="57"/>
      <c r="I41" s="57"/>
      <c r="J41" s="57"/>
      <c r="K41" s="57"/>
      <c r="L41" s="57"/>
      <c r="M41" s="57"/>
      <c r="N41" s="57"/>
      <c r="O41" s="57"/>
      <c r="P41" s="57"/>
      <c r="Q41" s="57"/>
      <c r="R41" s="57"/>
      <c r="S41" s="57"/>
      <c r="T41" s="57"/>
      <c r="U41" s="57"/>
      <c r="V41" s="57"/>
      <c r="W41" s="57"/>
      <c r="X41" s="57"/>
      <c r="Y41" s="57"/>
      <c r="Z41" s="65" t="s">
        <v>1068</v>
      </c>
      <c r="AA41" s="65"/>
      <c r="AB41" s="65"/>
      <c r="AC41" s="65" t="s">
        <v>1069</v>
      </c>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t="s">
        <v>1072</v>
      </c>
      <c r="BG41" s="65"/>
      <c r="BH41" s="65"/>
      <c r="BI41" s="65"/>
      <c r="BJ41" s="65"/>
      <c r="BK41" s="65"/>
      <c r="BL41" s="65"/>
      <c r="BM41" s="60">
        <f t="shared" si="1"/>
        <v>4</v>
      </c>
      <c r="BN41" s="60" t="s">
        <v>1093</v>
      </c>
      <c r="BO41" s="57"/>
    </row>
    <row r="42">
      <c r="A42" s="60" t="s">
        <v>200</v>
      </c>
      <c r="B42" s="95">
        <v>43014.0</v>
      </c>
      <c r="C42" s="93"/>
      <c r="D42" s="93"/>
      <c r="E42" s="93"/>
      <c r="F42" s="93"/>
      <c r="G42" s="93"/>
      <c r="H42" s="93"/>
      <c r="I42" s="93"/>
      <c r="J42" s="93"/>
      <c r="K42" s="93"/>
      <c r="L42" s="93"/>
      <c r="M42" s="93"/>
      <c r="N42" s="93"/>
      <c r="O42" s="93"/>
      <c r="P42" s="93"/>
      <c r="Q42" s="93"/>
      <c r="R42" s="93"/>
      <c r="S42" s="93"/>
      <c r="T42" s="93"/>
      <c r="U42" s="93"/>
      <c r="V42" s="93"/>
      <c r="W42" s="65"/>
      <c r="X42" s="65"/>
      <c r="Y42" s="65"/>
      <c r="Z42" s="65"/>
      <c r="AA42" s="65"/>
      <c r="AB42" s="65"/>
      <c r="AC42" s="65"/>
      <c r="AD42" s="65"/>
      <c r="AE42" s="65"/>
      <c r="AF42" s="65"/>
      <c r="AG42" s="65"/>
      <c r="AH42" s="65"/>
      <c r="AI42" s="65"/>
      <c r="AJ42" s="65"/>
      <c r="AK42" s="65"/>
      <c r="AL42" s="65"/>
      <c r="AM42" s="65"/>
      <c r="AN42" s="65"/>
      <c r="AO42" s="65" t="s">
        <v>1084</v>
      </c>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0">
        <f t="shared" si="1"/>
        <v>1</v>
      </c>
      <c r="BN42" s="60" t="s">
        <v>1084</v>
      </c>
      <c r="BO42" s="57"/>
    </row>
    <row r="43">
      <c r="A43" s="60" t="s">
        <v>201</v>
      </c>
      <c r="B43" s="92" t="s">
        <v>1064</v>
      </c>
      <c r="C43" s="57"/>
      <c r="D43" s="65" t="s">
        <v>1253</v>
      </c>
      <c r="E43" s="65" t="s">
        <v>1246</v>
      </c>
      <c r="F43" s="57"/>
      <c r="G43" s="57"/>
      <c r="H43" s="65" t="s">
        <v>1254</v>
      </c>
      <c r="I43" s="57"/>
      <c r="J43" s="57"/>
      <c r="K43" s="65" t="s">
        <v>1255</v>
      </c>
      <c r="L43" s="57"/>
      <c r="M43" s="57"/>
      <c r="N43" s="57"/>
      <c r="O43" s="57"/>
      <c r="P43" s="57"/>
      <c r="Q43" s="57"/>
      <c r="R43" s="57"/>
      <c r="S43" s="57"/>
      <c r="T43" s="57"/>
      <c r="U43" s="57"/>
      <c r="V43" s="57"/>
      <c r="W43" s="57"/>
      <c r="X43" s="65" t="s">
        <v>1249</v>
      </c>
      <c r="Y43" s="65"/>
      <c r="Z43" s="65"/>
      <c r="AA43" s="65"/>
      <c r="AB43" s="65"/>
      <c r="AC43" s="65"/>
      <c r="AD43" s="65"/>
      <c r="AE43" s="65"/>
      <c r="AF43" s="65"/>
      <c r="AG43" s="65"/>
      <c r="AH43" s="65"/>
      <c r="AI43" s="65"/>
      <c r="AJ43" s="65"/>
      <c r="AK43" s="65"/>
      <c r="AL43" s="65"/>
      <c r="AM43" s="65"/>
      <c r="AN43" s="65" t="s">
        <v>1138</v>
      </c>
      <c r="AO43" s="65"/>
      <c r="AP43" s="65"/>
      <c r="AQ43" s="65"/>
      <c r="AR43" s="65"/>
      <c r="AS43" s="65"/>
      <c r="AT43" s="65"/>
      <c r="AU43" s="65"/>
      <c r="AV43" s="65"/>
      <c r="AW43" s="65"/>
      <c r="AX43" s="65"/>
      <c r="AY43" s="65"/>
      <c r="AZ43" s="65"/>
      <c r="BA43" s="65"/>
      <c r="BB43" s="65"/>
      <c r="BC43" s="65"/>
      <c r="BD43" s="65"/>
      <c r="BE43" s="65"/>
      <c r="BF43" s="65"/>
      <c r="BG43" s="65"/>
      <c r="BH43" s="65"/>
      <c r="BI43" s="65"/>
      <c r="BJ43" s="65" t="s">
        <v>1256</v>
      </c>
      <c r="BK43" s="65"/>
      <c r="BL43" s="65"/>
      <c r="BM43" s="60">
        <f t="shared" si="1"/>
        <v>7</v>
      </c>
      <c r="BN43" s="60" t="s">
        <v>1257</v>
      </c>
      <c r="BO43" s="57"/>
    </row>
    <row r="44">
      <c r="A44" s="60" t="s">
        <v>203</v>
      </c>
      <c r="B44" s="92" t="s">
        <v>1064</v>
      </c>
      <c r="C44" s="57"/>
      <c r="D44" s="57"/>
      <c r="E44" s="57"/>
      <c r="F44" s="57"/>
      <c r="G44" s="57"/>
      <c r="H44" s="65" t="s">
        <v>1090</v>
      </c>
      <c r="I44" s="57"/>
      <c r="J44" s="57"/>
      <c r="K44" s="57"/>
      <c r="L44" s="57"/>
      <c r="M44" s="57"/>
      <c r="N44" s="57"/>
      <c r="O44" s="57"/>
      <c r="P44" s="57"/>
      <c r="Q44" s="57"/>
      <c r="R44" s="65" t="s">
        <v>1258</v>
      </c>
      <c r="S44" s="57"/>
      <c r="T44" s="57"/>
      <c r="U44" s="57"/>
      <c r="V44" s="65" t="s">
        <v>1259</v>
      </c>
      <c r="W44" s="65"/>
      <c r="X44" s="65"/>
      <c r="Y44" s="65"/>
      <c r="Z44" s="65"/>
      <c r="AA44" s="65"/>
      <c r="AB44" s="65"/>
      <c r="AC44" s="65"/>
      <c r="AD44" s="65"/>
      <c r="AE44" s="65"/>
      <c r="AF44" s="65"/>
      <c r="AG44" s="65" t="s">
        <v>1069</v>
      </c>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t="s">
        <v>1260</v>
      </c>
      <c r="BL44" s="65"/>
      <c r="BM44" s="60">
        <f t="shared" si="1"/>
        <v>5</v>
      </c>
      <c r="BN44" s="60" t="s">
        <v>1261</v>
      </c>
      <c r="BO44" s="57"/>
    </row>
    <row r="45">
      <c r="A45" s="60" t="s">
        <v>204</v>
      </c>
      <c r="B45" s="92" t="s">
        <v>1262</v>
      </c>
      <c r="C45" s="93"/>
      <c r="D45" s="93"/>
      <c r="E45" s="93"/>
      <c r="F45" s="93"/>
      <c r="G45" s="93"/>
      <c r="H45" s="93"/>
      <c r="I45" s="93"/>
      <c r="J45" s="93"/>
      <c r="K45" s="93"/>
      <c r="L45" s="57"/>
      <c r="M45" s="65" t="s">
        <v>1263</v>
      </c>
      <c r="N45" s="65" t="s">
        <v>1264</v>
      </c>
      <c r="O45" s="65" t="s">
        <v>1265</v>
      </c>
      <c r="P45" s="57"/>
      <c r="Q45" s="57"/>
      <c r="R45" s="57"/>
      <c r="S45" s="65" t="s">
        <v>1065</v>
      </c>
      <c r="T45" s="57"/>
      <c r="U45" s="65" t="s">
        <v>1065</v>
      </c>
      <c r="V45" s="65"/>
      <c r="W45" s="65" t="s">
        <v>1266</v>
      </c>
      <c r="X45" s="65"/>
      <c r="Y45" s="65"/>
      <c r="Z45" s="65" t="s">
        <v>1068</v>
      </c>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t="s">
        <v>1267</v>
      </c>
      <c r="BG45" s="65"/>
      <c r="BH45" s="65"/>
      <c r="BI45" s="65"/>
      <c r="BJ45" s="65"/>
      <c r="BK45" s="65"/>
      <c r="BL45" s="65"/>
      <c r="BM45" s="60">
        <f t="shared" si="1"/>
        <v>8</v>
      </c>
      <c r="BN45" s="60" t="s">
        <v>1268</v>
      </c>
      <c r="BO45" s="57"/>
    </row>
    <row r="46">
      <c r="A46" s="60" t="s">
        <v>207</v>
      </c>
      <c r="B46" s="92" t="s">
        <v>1269</v>
      </c>
      <c r="C46" s="93"/>
      <c r="D46" s="93"/>
      <c r="E46" s="93"/>
      <c r="F46" s="93"/>
      <c r="G46" s="93"/>
      <c r="H46" s="94"/>
      <c r="I46" s="94"/>
      <c r="J46" s="94"/>
      <c r="K46" s="93"/>
      <c r="L46" s="93"/>
      <c r="M46" s="94"/>
      <c r="N46" s="93"/>
      <c r="O46" s="93"/>
      <c r="P46" s="93"/>
      <c r="Q46" s="93"/>
      <c r="R46" s="93"/>
      <c r="S46" s="93"/>
      <c r="T46" s="93"/>
      <c r="U46" s="93"/>
      <c r="V46" s="94"/>
      <c r="W46" s="94"/>
      <c r="X46" s="94"/>
      <c r="Y46" s="94"/>
      <c r="Z46" s="94"/>
      <c r="AA46" s="94"/>
      <c r="AB46" s="94"/>
      <c r="AC46" s="94"/>
      <c r="AD46" s="94"/>
      <c r="AE46" s="94"/>
      <c r="AF46" s="94"/>
      <c r="AG46" s="65" t="s">
        <v>1270</v>
      </c>
      <c r="AH46" s="65" t="s">
        <v>1271</v>
      </c>
      <c r="AI46" s="65"/>
      <c r="AJ46" s="65"/>
      <c r="AK46" s="65" t="s">
        <v>1272</v>
      </c>
      <c r="AL46" s="65"/>
      <c r="AM46" s="65"/>
      <c r="AN46" s="65"/>
      <c r="AO46" s="65"/>
      <c r="AP46" s="65"/>
      <c r="AQ46" s="65"/>
      <c r="AR46" s="65"/>
      <c r="AS46" s="65"/>
      <c r="AT46" s="65"/>
      <c r="AU46" s="65"/>
      <c r="AV46" s="65"/>
      <c r="AW46" s="65"/>
      <c r="AX46" s="65"/>
      <c r="AY46" s="65"/>
      <c r="AZ46" s="65"/>
      <c r="BA46" s="65"/>
      <c r="BB46" s="65"/>
      <c r="BC46" s="65"/>
      <c r="BD46" s="65" t="s">
        <v>1081</v>
      </c>
      <c r="BE46" s="65"/>
      <c r="BF46" s="65" t="s">
        <v>1173</v>
      </c>
      <c r="BG46" s="65"/>
      <c r="BH46" s="65"/>
      <c r="BI46" s="65"/>
      <c r="BJ46" s="65"/>
      <c r="BK46" s="65"/>
      <c r="BL46" s="65"/>
      <c r="BM46" s="60">
        <f t="shared" si="1"/>
        <v>5</v>
      </c>
      <c r="BN46" s="60" t="s">
        <v>1273</v>
      </c>
      <c r="BO46" s="57"/>
    </row>
    <row r="47">
      <c r="A47" s="60" t="s">
        <v>209</v>
      </c>
      <c r="B47" s="92" t="s">
        <v>1239</v>
      </c>
      <c r="C47" s="93"/>
      <c r="D47" s="93"/>
      <c r="E47" s="93"/>
      <c r="F47" s="93"/>
      <c r="G47" s="57"/>
      <c r="H47" s="65" t="s">
        <v>1197</v>
      </c>
      <c r="I47" s="65" t="s">
        <v>1274</v>
      </c>
      <c r="J47" s="65" t="s">
        <v>1065</v>
      </c>
      <c r="K47" s="57"/>
      <c r="L47" s="57"/>
      <c r="M47" s="65" t="s">
        <v>1141</v>
      </c>
      <c r="N47" s="57"/>
      <c r="O47" s="57"/>
      <c r="P47" s="57"/>
      <c r="Q47" s="57"/>
      <c r="R47" s="57"/>
      <c r="S47" s="57"/>
      <c r="T47" s="57"/>
      <c r="U47" s="57"/>
      <c r="V47" s="65" t="s">
        <v>1275</v>
      </c>
      <c r="W47" s="65"/>
      <c r="X47" s="65"/>
      <c r="Y47" s="65"/>
      <c r="Z47" s="65"/>
      <c r="AA47" s="65"/>
      <c r="AB47" s="65"/>
      <c r="AC47" s="65"/>
      <c r="AD47" s="65"/>
      <c r="AE47" s="65"/>
      <c r="AF47" s="65"/>
      <c r="AG47" s="65"/>
      <c r="AH47" s="65"/>
      <c r="AI47" s="65" t="s">
        <v>1276</v>
      </c>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c r="BH47" s="65"/>
      <c r="BI47" s="65"/>
      <c r="BJ47" s="65"/>
      <c r="BK47" s="65"/>
      <c r="BL47" s="65"/>
      <c r="BM47" s="60">
        <f t="shared" si="1"/>
        <v>6</v>
      </c>
      <c r="BN47" s="60" t="s">
        <v>1277</v>
      </c>
      <c r="BO47" s="57"/>
    </row>
    <row r="48">
      <c r="A48" s="60" t="s">
        <v>210</v>
      </c>
      <c r="B48" s="92" t="s">
        <v>1278</v>
      </c>
      <c r="C48" s="93"/>
      <c r="D48" s="94"/>
      <c r="E48" s="94"/>
      <c r="F48" s="93"/>
      <c r="G48" s="93"/>
      <c r="H48" s="93"/>
      <c r="I48" s="94"/>
      <c r="J48" s="93"/>
      <c r="K48" s="93"/>
      <c r="L48" s="94"/>
      <c r="M48" s="93"/>
      <c r="N48" s="93"/>
      <c r="O48" s="93"/>
      <c r="P48" s="93"/>
      <c r="Q48" s="93"/>
      <c r="R48" s="93"/>
      <c r="S48" s="93"/>
      <c r="T48" s="93"/>
      <c r="U48" s="94"/>
      <c r="V48" s="94"/>
      <c r="W48" s="94"/>
      <c r="X48" s="94"/>
      <c r="Y48" s="94"/>
      <c r="Z48" s="94"/>
      <c r="AA48" s="94"/>
      <c r="AB48" s="94"/>
      <c r="AC48" s="94"/>
      <c r="AD48" s="94"/>
      <c r="AE48" s="65"/>
      <c r="AF48" s="65"/>
      <c r="AG48" s="65" t="s">
        <v>1279</v>
      </c>
      <c r="AH48" s="65" t="s">
        <v>1084</v>
      </c>
      <c r="AI48" s="65"/>
      <c r="AJ48" s="65" t="s">
        <v>1110</v>
      </c>
      <c r="AK48" s="65"/>
      <c r="AL48" s="65"/>
      <c r="AM48" s="65"/>
      <c r="AN48" s="65"/>
      <c r="AO48" s="65"/>
      <c r="AP48" s="65"/>
      <c r="AQ48" s="65"/>
      <c r="AR48" s="65"/>
      <c r="AS48" s="65"/>
      <c r="AT48" s="65"/>
      <c r="AU48" s="65"/>
      <c r="AV48" s="65"/>
      <c r="AW48" s="65"/>
      <c r="AX48" s="65"/>
      <c r="AY48" s="65"/>
      <c r="AZ48" s="65" t="s">
        <v>1210</v>
      </c>
      <c r="BA48" s="65"/>
      <c r="BB48" s="65"/>
      <c r="BC48" s="65"/>
      <c r="BD48" s="65"/>
      <c r="BE48" s="65"/>
      <c r="BF48" s="65"/>
      <c r="BG48" s="65"/>
      <c r="BH48" s="65"/>
      <c r="BI48" s="65"/>
      <c r="BJ48" s="65"/>
      <c r="BK48" s="65"/>
      <c r="BL48" s="65"/>
      <c r="BM48" s="60">
        <f t="shared" si="1"/>
        <v>4</v>
      </c>
      <c r="BN48" s="60" t="s">
        <v>1280</v>
      </c>
      <c r="BO48" s="57"/>
    </row>
    <row r="49">
      <c r="A49" s="60" t="s">
        <v>212</v>
      </c>
      <c r="B49" s="92" t="s">
        <v>1239</v>
      </c>
      <c r="C49" s="93"/>
      <c r="D49" s="93"/>
      <c r="E49" s="93"/>
      <c r="F49" s="93"/>
      <c r="G49" s="57"/>
      <c r="H49" s="65" t="s">
        <v>1281</v>
      </c>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65" t="s">
        <v>1282</v>
      </c>
      <c r="AN49" s="65"/>
      <c r="AO49" s="65"/>
      <c r="AP49" s="65" t="s">
        <v>1283</v>
      </c>
      <c r="AQ49" s="65"/>
      <c r="AR49" s="65"/>
      <c r="AS49" s="65"/>
      <c r="AT49" s="65"/>
      <c r="AU49" s="65"/>
      <c r="AV49" s="65"/>
      <c r="AW49" s="65"/>
      <c r="AX49" s="65" t="s">
        <v>1284</v>
      </c>
      <c r="AY49" s="65"/>
      <c r="AZ49" s="65"/>
      <c r="BA49" s="65"/>
      <c r="BB49" s="65"/>
      <c r="BC49" s="65"/>
      <c r="BD49" s="65" t="s">
        <v>1285</v>
      </c>
      <c r="BE49" s="65"/>
      <c r="BF49" s="65"/>
      <c r="BG49" s="65"/>
      <c r="BH49" s="65" t="s">
        <v>1101</v>
      </c>
      <c r="BI49" s="65"/>
      <c r="BJ49" s="65"/>
      <c r="BK49" s="65" t="s">
        <v>1247</v>
      </c>
      <c r="BL49" s="65"/>
      <c r="BM49" s="60">
        <f t="shared" si="1"/>
        <v>7</v>
      </c>
      <c r="BN49" s="60" t="s">
        <v>1286</v>
      </c>
      <c r="BO49" s="57"/>
    </row>
    <row r="50">
      <c r="A50" s="60" t="s">
        <v>213</v>
      </c>
      <c r="B50" s="92" t="s">
        <v>1239</v>
      </c>
      <c r="C50" s="93"/>
      <c r="D50" s="93"/>
      <c r="E50" s="93"/>
      <c r="F50" s="93"/>
      <c r="G50" s="57"/>
      <c r="H50" s="65" t="s">
        <v>1287</v>
      </c>
      <c r="I50" s="57"/>
      <c r="J50" s="57"/>
      <c r="K50" s="57"/>
      <c r="L50" s="65" t="s">
        <v>1173</v>
      </c>
      <c r="M50" s="65" t="s">
        <v>1288</v>
      </c>
      <c r="N50" s="57"/>
      <c r="O50" s="57"/>
      <c r="P50" s="57"/>
      <c r="Q50" s="57"/>
      <c r="R50" s="57"/>
      <c r="S50" s="57"/>
      <c r="T50" s="65" t="s">
        <v>1090</v>
      </c>
      <c r="U50" s="57"/>
      <c r="V50" s="57"/>
      <c r="W50" s="57"/>
      <c r="X50" s="65" t="s">
        <v>1289</v>
      </c>
      <c r="Y50" s="65"/>
      <c r="Z50" s="65"/>
      <c r="AA50" s="65"/>
      <c r="AB50" s="65" t="s">
        <v>1290</v>
      </c>
      <c r="AC50" s="65" t="s">
        <v>1291</v>
      </c>
      <c r="AD50" s="65"/>
      <c r="AE50" s="65" t="s">
        <v>1292</v>
      </c>
      <c r="AF50" s="65"/>
      <c r="AG50" s="65"/>
      <c r="AH50" s="65"/>
      <c r="AI50" s="65"/>
      <c r="AJ50" s="65"/>
      <c r="AK50" s="65"/>
      <c r="AL50" s="65"/>
      <c r="AM50" s="65"/>
      <c r="AN50" s="65"/>
      <c r="AO50" s="65"/>
      <c r="AP50" s="65" t="s">
        <v>1293</v>
      </c>
      <c r="AQ50" s="65"/>
      <c r="AR50" s="65" t="s">
        <v>1294</v>
      </c>
      <c r="AS50" s="65"/>
      <c r="AT50" s="65" t="s">
        <v>1295</v>
      </c>
      <c r="AU50" s="65"/>
      <c r="AV50" s="65"/>
      <c r="AW50" s="65"/>
      <c r="AX50" s="65"/>
      <c r="AY50" s="65"/>
      <c r="AZ50" s="65"/>
      <c r="BA50" s="65"/>
      <c r="BB50" s="65"/>
      <c r="BC50" s="65"/>
      <c r="BD50" s="65"/>
      <c r="BE50" s="65"/>
      <c r="BF50" s="65"/>
      <c r="BG50" s="65"/>
      <c r="BH50" s="65"/>
      <c r="BI50" s="65"/>
      <c r="BJ50" s="65"/>
      <c r="BK50" s="65"/>
      <c r="BL50" s="65"/>
      <c r="BM50" s="60">
        <f t="shared" si="1"/>
        <v>11</v>
      </c>
      <c r="BN50" s="60" t="s">
        <v>1296</v>
      </c>
      <c r="BO50" s="57"/>
    </row>
    <row r="51">
      <c r="A51" s="60" t="s">
        <v>214</v>
      </c>
      <c r="B51" s="92" t="s">
        <v>1064</v>
      </c>
      <c r="C51" s="65" t="s">
        <v>1079</v>
      </c>
      <c r="D51" s="57"/>
      <c r="E51" s="57"/>
      <c r="F51" s="57"/>
      <c r="G51" s="57"/>
      <c r="H51" s="65" t="s">
        <v>1287</v>
      </c>
      <c r="I51" s="57"/>
      <c r="K51" s="65" t="s">
        <v>1119</v>
      </c>
      <c r="L51" s="57"/>
      <c r="M51" s="65" t="s">
        <v>1078</v>
      </c>
      <c r="N51" s="57"/>
      <c r="O51" s="57"/>
      <c r="P51" s="57"/>
      <c r="Q51" s="57"/>
      <c r="R51" s="57"/>
      <c r="S51" s="57"/>
      <c r="T51" s="57"/>
      <c r="U51" s="57"/>
      <c r="V51" s="57"/>
      <c r="W51" s="57"/>
      <c r="X51" s="57"/>
      <c r="Y51" s="57"/>
      <c r="Z51" s="65" t="s">
        <v>1290</v>
      </c>
      <c r="AA51" s="65"/>
      <c r="AB51" s="65"/>
      <c r="AC51" s="65"/>
      <c r="AD51" s="65"/>
      <c r="AE51" s="65" t="s">
        <v>1292</v>
      </c>
      <c r="AF51" s="65"/>
      <c r="AG51" s="65"/>
      <c r="AH51" s="65" t="s">
        <v>1090</v>
      </c>
      <c r="AI51" s="65"/>
      <c r="AJ51" s="65"/>
      <c r="AK51" s="65"/>
      <c r="AL51" s="65"/>
      <c r="AM51" s="65"/>
      <c r="AN51" s="65"/>
      <c r="AO51" s="65"/>
      <c r="AP51" s="65"/>
      <c r="AQ51" s="65"/>
      <c r="AR51" s="65" t="s">
        <v>1297</v>
      </c>
      <c r="AS51" s="65"/>
      <c r="AT51" s="65"/>
      <c r="AU51" s="65"/>
      <c r="AV51" s="65"/>
      <c r="AW51" s="65"/>
      <c r="AX51" s="65"/>
      <c r="AY51" s="65"/>
      <c r="AZ51" s="65"/>
      <c r="BA51" s="65"/>
      <c r="BB51" s="65"/>
      <c r="BC51" s="65"/>
      <c r="BD51" s="65" t="s">
        <v>1086</v>
      </c>
      <c r="BE51" s="65"/>
      <c r="BF51" s="65"/>
      <c r="BG51" s="65"/>
      <c r="BH51" s="65"/>
      <c r="BI51" s="65"/>
      <c r="BJ51" s="65"/>
      <c r="BK51" s="65"/>
      <c r="BL51" s="65"/>
      <c r="BM51" s="60">
        <f t="shared" si="1"/>
        <v>9</v>
      </c>
      <c r="BN51" s="60" t="s">
        <v>1298</v>
      </c>
      <c r="BO51" s="57"/>
    </row>
    <row r="52">
      <c r="A52" s="60" t="s">
        <v>215</v>
      </c>
      <c r="B52" s="95">
        <v>42986.0</v>
      </c>
      <c r="C52" s="93"/>
      <c r="D52" s="93"/>
      <c r="E52" s="93"/>
      <c r="F52" s="93"/>
      <c r="G52" s="93"/>
      <c r="H52" s="93"/>
      <c r="I52" s="93"/>
      <c r="J52" s="93"/>
      <c r="K52" s="93"/>
      <c r="L52" s="93"/>
      <c r="M52" s="93"/>
      <c r="N52" s="93"/>
      <c r="O52" s="93"/>
      <c r="P52" s="93"/>
      <c r="Q52" s="93"/>
      <c r="R52" s="93"/>
      <c r="S52" s="93"/>
      <c r="T52" s="93"/>
      <c r="U52" s="93"/>
      <c r="V52" s="93"/>
      <c r="W52" s="65"/>
      <c r="X52" s="65"/>
      <c r="Y52" s="65"/>
      <c r="Z52" s="65"/>
      <c r="AA52" s="65"/>
      <c r="AB52" s="65" t="s">
        <v>1299</v>
      </c>
      <c r="AC52" s="65"/>
      <c r="AD52" s="65" t="s">
        <v>1300</v>
      </c>
      <c r="AE52" s="65" t="s">
        <v>1301</v>
      </c>
      <c r="AF52" s="65"/>
      <c r="AG52" s="65"/>
      <c r="AH52" s="65"/>
      <c r="AI52" s="65"/>
      <c r="AJ52" s="65" t="s">
        <v>1096</v>
      </c>
      <c r="AK52" s="65"/>
      <c r="AL52" s="65"/>
      <c r="AM52" s="65"/>
      <c r="AN52" s="65"/>
      <c r="AO52" s="65"/>
      <c r="AP52" s="65"/>
      <c r="AQ52" s="65"/>
      <c r="AR52" s="65" t="s">
        <v>1089</v>
      </c>
      <c r="AS52" s="65"/>
      <c r="AT52" s="65"/>
      <c r="AU52" s="65"/>
      <c r="AV52" s="65"/>
      <c r="AW52" s="65"/>
      <c r="AX52" s="65"/>
      <c r="AY52" s="65"/>
      <c r="AZ52" s="65"/>
      <c r="BA52" s="65"/>
      <c r="BB52" s="65"/>
      <c r="BC52" s="65"/>
      <c r="BD52" s="65"/>
      <c r="BE52" s="65"/>
      <c r="BF52" s="65"/>
      <c r="BG52" s="65"/>
      <c r="BH52" s="65"/>
      <c r="BI52" s="65"/>
      <c r="BJ52" s="65"/>
      <c r="BK52" s="65"/>
      <c r="BL52" s="65"/>
      <c r="BM52" s="60">
        <f t="shared" si="1"/>
        <v>5</v>
      </c>
      <c r="BN52" s="60" t="s">
        <v>1302</v>
      </c>
      <c r="BO52" s="57"/>
    </row>
    <row r="53">
      <c r="A53" s="60" t="s">
        <v>219</v>
      </c>
      <c r="B53" s="92" t="s">
        <v>1278</v>
      </c>
      <c r="C53" s="93"/>
      <c r="D53" s="93"/>
      <c r="E53" s="93"/>
      <c r="F53" s="93"/>
      <c r="G53" s="93"/>
      <c r="H53" s="93"/>
      <c r="I53" s="93"/>
      <c r="J53" s="93"/>
      <c r="K53" s="93"/>
      <c r="L53" s="93"/>
      <c r="M53" s="93"/>
      <c r="N53" s="93"/>
      <c r="O53" s="93"/>
      <c r="P53" s="94"/>
      <c r="Q53" s="93"/>
      <c r="R53" s="93"/>
      <c r="S53" s="94"/>
      <c r="T53" s="93"/>
      <c r="U53" s="93"/>
      <c r="V53" s="93"/>
      <c r="W53" s="93"/>
      <c r="X53" s="93"/>
      <c r="Y53" s="93"/>
      <c r="Z53" s="93"/>
      <c r="AA53" s="93"/>
      <c r="AB53" s="93"/>
      <c r="AC53" s="94"/>
      <c r="AD53" s="94"/>
      <c r="AE53" s="65"/>
      <c r="AF53" s="65"/>
      <c r="AG53" s="65"/>
      <c r="AH53" s="65"/>
      <c r="AI53" s="65" t="s">
        <v>1303</v>
      </c>
      <c r="AJ53" s="65"/>
      <c r="AK53" s="65" t="s">
        <v>1304</v>
      </c>
      <c r="AL53" s="65"/>
      <c r="AM53" s="65"/>
      <c r="AN53" s="65"/>
      <c r="AO53" s="65"/>
      <c r="AP53" s="65"/>
      <c r="AQ53" s="65"/>
      <c r="AR53" s="65" t="s">
        <v>1305</v>
      </c>
      <c r="AS53" s="65"/>
      <c r="AT53" s="65"/>
      <c r="AU53" s="65" t="s">
        <v>1069</v>
      </c>
      <c r="AV53" s="65"/>
      <c r="AW53" s="65"/>
      <c r="AX53" s="65"/>
      <c r="AY53" s="65"/>
      <c r="AZ53" s="65"/>
      <c r="BA53" s="65"/>
      <c r="BB53" s="65"/>
      <c r="BC53" s="65"/>
      <c r="BD53" s="65"/>
      <c r="BE53" s="65"/>
      <c r="BF53" s="65" t="s">
        <v>1072</v>
      </c>
      <c r="BG53" s="65"/>
      <c r="BH53" s="65"/>
      <c r="BI53" s="65"/>
      <c r="BJ53" s="65"/>
      <c r="BK53" s="65"/>
      <c r="BL53" s="65"/>
      <c r="BM53" s="60">
        <f t="shared" si="1"/>
        <v>5</v>
      </c>
      <c r="BN53" s="60" t="s">
        <v>1306</v>
      </c>
      <c r="BO53" s="57"/>
    </row>
    <row r="54">
      <c r="A54" s="60" t="s">
        <v>221</v>
      </c>
      <c r="B54" s="92" t="s">
        <v>1262</v>
      </c>
      <c r="C54" s="93"/>
      <c r="D54" s="93"/>
      <c r="E54" s="93"/>
      <c r="F54" s="93"/>
      <c r="G54" s="93"/>
      <c r="H54" s="93"/>
      <c r="I54" s="93"/>
      <c r="J54" s="93"/>
      <c r="K54" s="93"/>
      <c r="L54" s="57"/>
      <c r="M54" s="57"/>
      <c r="N54" s="57"/>
      <c r="O54" s="57"/>
      <c r="P54" s="65" t="s">
        <v>1307</v>
      </c>
      <c r="Q54" s="57"/>
      <c r="R54" s="57"/>
      <c r="S54" s="65" t="s">
        <v>1170</v>
      </c>
      <c r="T54" s="57"/>
      <c r="U54" s="57"/>
      <c r="V54" s="57"/>
      <c r="W54" s="57"/>
      <c r="X54" s="57"/>
      <c r="Y54" s="57"/>
      <c r="Z54" s="57"/>
      <c r="AA54" s="57"/>
      <c r="AB54" s="57"/>
      <c r="AC54" s="65" t="s">
        <v>1308</v>
      </c>
      <c r="AD54" s="65"/>
      <c r="AE54" s="65"/>
      <c r="AF54" s="65"/>
      <c r="AG54" s="65"/>
      <c r="AH54" s="65"/>
      <c r="AI54" s="65"/>
      <c r="AJ54" s="65"/>
      <c r="AK54" s="65"/>
      <c r="AL54" s="65"/>
      <c r="AM54" s="65"/>
      <c r="AN54" s="65"/>
      <c r="AO54" s="65"/>
      <c r="AP54" s="65"/>
      <c r="AQ54" s="65"/>
      <c r="AR54" s="65"/>
      <c r="AS54" s="65"/>
      <c r="AT54" s="65"/>
      <c r="AU54" s="65"/>
      <c r="AV54" s="65"/>
      <c r="AW54" s="65"/>
      <c r="AX54" s="65"/>
      <c r="AY54" s="65"/>
      <c r="AZ54" s="65"/>
      <c r="BA54" s="65"/>
      <c r="BB54" s="65"/>
      <c r="BC54" s="65"/>
      <c r="BD54" s="65"/>
      <c r="BE54" s="65"/>
      <c r="BF54" s="65"/>
      <c r="BG54" s="65"/>
      <c r="BH54" s="65"/>
      <c r="BI54" s="65"/>
      <c r="BJ54" s="65"/>
      <c r="BK54" s="65"/>
      <c r="BL54" s="65"/>
      <c r="BM54" s="60">
        <f t="shared" si="1"/>
        <v>3</v>
      </c>
      <c r="BN54" s="60" t="s">
        <v>1309</v>
      </c>
      <c r="BO54" s="57"/>
    </row>
    <row r="55">
      <c r="A55" s="60" t="s">
        <v>222</v>
      </c>
      <c r="B55" s="92" t="s">
        <v>1310</v>
      </c>
      <c r="C55" s="93"/>
      <c r="D55" s="93"/>
      <c r="E55" s="93"/>
      <c r="F55" s="93"/>
      <c r="G55" s="93"/>
      <c r="H55" s="93"/>
      <c r="I55" s="93"/>
      <c r="J55" s="93"/>
      <c r="K55" s="93"/>
      <c r="L55" s="93"/>
      <c r="M55" s="93"/>
      <c r="N55" s="93"/>
      <c r="O55" s="65" t="s">
        <v>1069</v>
      </c>
      <c r="P55" s="65" t="s">
        <v>1311</v>
      </c>
      <c r="Q55" s="57"/>
      <c r="R55" s="57"/>
      <c r="S55" s="65" t="s">
        <v>1312</v>
      </c>
      <c r="T55" s="57"/>
      <c r="U55" s="57"/>
      <c r="V55" s="57"/>
      <c r="W55" s="57"/>
      <c r="X55" s="57"/>
      <c r="Y55" s="57"/>
      <c r="Z55" s="65" t="s">
        <v>1313</v>
      </c>
      <c r="AA55" s="65"/>
      <c r="AB55" s="65"/>
      <c r="AC55" s="65"/>
      <c r="AD55" s="65" t="s">
        <v>1091</v>
      </c>
      <c r="AE55" s="65"/>
      <c r="AF55" s="65"/>
      <c r="AG55" s="65"/>
      <c r="AH55" s="65"/>
      <c r="AI55" s="65"/>
      <c r="AJ55" s="65"/>
      <c r="AK55" s="65"/>
      <c r="AL55" s="65"/>
      <c r="AM55" s="65"/>
      <c r="AN55" s="65"/>
      <c r="AO55" s="65"/>
      <c r="AP55" s="65"/>
      <c r="AQ55" s="65"/>
      <c r="AR55" s="65"/>
      <c r="AS55" s="65"/>
      <c r="AT55" s="65"/>
      <c r="AU55" s="65"/>
      <c r="AV55" s="65"/>
      <c r="AW55" s="65"/>
      <c r="AX55" s="65"/>
      <c r="AY55" s="65"/>
      <c r="AZ55" s="65"/>
      <c r="BA55" s="65"/>
      <c r="BB55" s="65"/>
      <c r="BC55" s="65"/>
      <c r="BD55" s="65"/>
      <c r="BE55" s="65"/>
      <c r="BF55" s="65"/>
      <c r="BG55" s="65"/>
      <c r="BH55" s="65"/>
      <c r="BI55" s="65"/>
      <c r="BJ55" s="65"/>
      <c r="BK55" s="65"/>
      <c r="BL55" s="65"/>
      <c r="BM55" s="60">
        <f t="shared" si="1"/>
        <v>5</v>
      </c>
      <c r="BN55" s="60" t="s">
        <v>1314</v>
      </c>
      <c r="BO55" s="57"/>
    </row>
    <row r="56">
      <c r="A56" s="60" t="s">
        <v>223</v>
      </c>
      <c r="B56" s="92" t="s">
        <v>1064</v>
      </c>
      <c r="C56" s="57"/>
      <c r="D56" s="57"/>
      <c r="E56" s="57"/>
      <c r="F56" s="65" t="s">
        <v>1066</v>
      </c>
      <c r="G56" s="57"/>
      <c r="H56" s="57"/>
      <c r="I56" s="57"/>
      <c r="J56" s="57"/>
      <c r="K56" s="57"/>
      <c r="L56" s="57"/>
      <c r="M56" s="57"/>
      <c r="N56" s="65" t="s">
        <v>1315</v>
      </c>
      <c r="O56" s="57"/>
      <c r="P56" s="57"/>
      <c r="Q56" s="57"/>
      <c r="R56" s="57"/>
      <c r="S56" s="57"/>
      <c r="T56" s="57"/>
      <c r="U56" s="57"/>
      <c r="V56" s="57"/>
      <c r="W56" s="57"/>
      <c r="X56" s="57"/>
      <c r="Y56" s="65" t="s">
        <v>1316</v>
      </c>
      <c r="Z56" s="65" t="s">
        <v>1068</v>
      </c>
      <c r="AA56" s="65"/>
      <c r="AB56" s="65"/>
      <c r="AC56" s="65" t="s">
        <v>1317</v>
      </c>
      <c r="AD56" s="65"/>
      <c r="AE56" s="65"/>
      <c r="AF56" s="65"/>
      <c r="AG56" s="65"/>
      <c r="AH56" s="65" t="s">
        <v>1087</v>
      </c>
      <c r="AI56" s="65"/>
      <c r="AJ56" s="65"/>
      <c r="AK56" s="65"/>
      <c r="AL56" s="65"/>
      <c r="AM56" s="65"/>
      <c r="AN56" s="65"/>
      <c r="AO56" s="65"/>
      <c r="AP56" s="65"/>
      <c r="AQ56" s="65"/>
      <c r="AR56" s="65"/>
      <c r="AS56" s="65"/>
      <c r="AT56" s="65"/>
      <c r="AU56" s="65"/>
      <c r="AV56" s="65"/>
      <c r="AW56" s="65"/>
      <c r="AX56" s="65"/>
      <c r="AY56" s="65"/>
      <c r="AZ56" s="65"/>
      <c r="BA56" s="65"/>
      <c r="BB56" s="65"/>
      <c r="BC56" s="65"/>
      <c r="BD56" s="65"/>
      <c r="BE56" s="65"/>
      <c r="BF56" s="65" t="s">
        <v>1072</v>
      </c>
      <c r="BG56" s="65"/>
      <c r="BH56" s="65"/>
      <c r="BI56" s="65"/>
      <c r="BJ56" s="65"/>
      <c r="BK56" s="65"/>
      <c r="BL56" s="65"/>
      <c r="BM56" s="60">
        <f t="shared" si="1"/>
        <v>7</v>
      </c>
      <c r="BN56" s="60" t="s">
        <v>1318</v>
      </c>
      <c r="BO56" s="57"/>
    </row>
    <row r="57">
      <c r="A57" s="60" t="s">
        <v>224</v>
      </c>
      <c r="B57" s="92" t="s">
        <v>1064</v>
      </c>
      <c r="C57" s="57"/>
      <c r="D57" s="65" t="s">
        <v>1319</v>
      </c>
      <c r="E57" s="57"/>
      <c r="F57" s="57"/>
      <c r="G57" s="57"/>
      <c r="H57" s="57"/>
      <c r="I57" s="57"/>
      <c r="J57" s="65" t="s">
        <v>1320</v>
      </c>
      <c r="K57" s="57"/>
      <c r="L57" s="57"/>
      <c r="M57" s="57"/>
      <c r="N57" s="57"/>
      <c r="O57" s="57"/>
      <c r="P57" s="57"/>
      <c r="Q57" s="57"/>
      <c r="R57" s="57"/>
      <c r="S57" s="57"/>
      <c r="T57" s="57"/>
      <c r="U57" s="57"/>
      <c r="V57" s="57"/>
      <c r="W57" s="57"/>
      <c r="X57" s="57"/>
      <c r="Y57" s="57"/>
      <c r="Z57" s="57"/>
      <c r="AA57" s="57"/>
      <c r="AB57" s="57"/>
      <c r="AC57" s="65" t="s">
        <v>1069</v>
      </c>
      <c r="AD57" s="65"/>
      <c r="AE57" s="65"/>
      <c r="AF57" s="65"/>
      <c r="AG57" s="65"/>
      <c r="AH57" s="65"/>
      <c r="AI57" s="65"/>
      <c r="AJ57" s="65"/>
      <c r="AK57" s="65" t="s">
        <v>1321</v>
      </c>
      <c r="AL57" s="65" t="s">
        <v>1322</v>
      </c>
      <c r="AM57" s="65" t="s">
        <v>1323</v>
      </c>
      <c r="AN57" s="65"/>
      <c r="AO57" s="65"/>
      <c r="AP57" s="65"/>
      <c r="AQ57" s="65"/>
      <c r="AR57" s="65"/>
      <c r="AS57" s="65"/>
      <c r="AT57" s="65"/>
      <c r="AU57" s="65"/>
      <c r="AV57" s="65"/>
      <c r="AW57" s="65"/>
      <c r="AX57" s="65"/>
      <c r="AY57" s="65"/>
      <c r="AZ57" s="65"/>
      <c r="BA57" s="65"/>
      <c r="BB57" s="65"/>
      <c r="BC57" s="65"/>
      <c r="BD57" s="65"/>
      <c r="BE57" s="65"/>
      <c r="BF57" s="65" t="s">
        <v>1072</v>
      </c>
      <c r="BG57" s="65"/>
      <c r="BH57" s="65"/>
      <c r="BI57" s="65"/>
      <c r="BJ57" s="65"/>
      <c r="BK57" s="65"/>
      <c r="BL57" s="65"/>
      <c r="BM57" s="60">
        <f t="shared" si="1"/>
        <v>7</v>
      </c>
      <c r="BN57" s="60" t="s">
        <v>1324</v>
      </c>
      <c r="BO57" s="57"/>
    </row>
    <row r="58">
      <c r="A58" s="60" t="s">
        <v>226</v>
      </c>
      <c r="B58" s="92" t="s">
        <v>1239</v>
      </c>
      <c r="C58" s="93"/>
      <c r="D58" s="93"/>
      <c r="E58" s="93"/>
      <c r="F58" s="93"/>
      <c r="G58" s="57"/>
      <c r="H58" s="65" t="s">
        <v>1087</v>
      </c>
      <c r="I58" s="57"/>
      <c r="J58" s="57"/>
      <c r="K58" s="57"/>
      <c r="L58" s="57"/>
      <c r="M58" s="65" t="s">
        <v>1091</v>
      </c>
      <c r="N58" s="57"/>
      <c r="O58" s="57"/>
      <c r="P58" s="57"/>
      <c r="Q58" s="57"/>
      <c r="R58" s="57"/>
      <c r="S58" s="57"/>
      <c r="T58" s="57"/>
      <c r="U58" s="57"/>
      <c r="V58" s="57"/>
      <c r="W58" s="57"/>
      <c r="X58" s="65" t="s">
        <v>1325</v>
      </c>
      <c r="Y58" s="65"/>
      <c r="Z58" s="65"/>
      <c r="AA58" s="65"/>
      <c r="AB58" s="65"/>
      <c r="AC58" s="65"/>
      <c r="AD58" s="65"/>
      <c r="AE58" s="65"/>
      <c r="AF58" s="65"/>
      <c r="AG58" s="65"/>
      <c r="AH58" s="65"/>
      <c r="AI58" s="65" t="s">
        <v>1326</v>
      </c>
      <c r="AJ58" s="65"/>
      <c r="AK58" s="65" t="s">
        <v>1327</v>
      </c>
      <c r="AL58" s="65"/>
      <c r="AM58" s="65"/>
      <c r="AN58" s="65"/>
      <c r="AO58" s="65"/>
      <c r="AP58" s="65"/>
      <c r="AQ58" s="65"/>
      <c r="AR58" s="65"/>
      <c r="AS58" s="65"/>
      <c r="AT58" s="65"/>
      <c r="AU58" s="65"/>
      <c r="AV58" s="65"/>
      <c r="AW58" s="65"/>
      <c r="AX58" s="65"/>
      <c r="AY58" s="65"/>
      <c r="AZ58" s="65"/>
      <c r="BA58" s="65"/>
      <c r="BB58" s="65"/>
      <c r="BC58" s="65"/>
      <c r="BD58" s="65"/>
      <c r="BE58" s="65"/>
      <c r="BF58" s="65"/>
      <c r="BG58" s="65"/>
      <c r="BH58" s="65"/>
      <c r="BI58" s="65"/>
      <c r="BJ58" s="65"/>
      <c r="BK58" s="65"/>
      <c r="BL58" s="65" t="s">
        <v>1328</v>
      </c>
      <c r="BM58" s="60">
        <f t="shared" si="1"/>
        <v>6</v>
      </c>
      <c r="BN58" s="60" t="s">
        <v>1329</v>
      </c>
      <c r="BO58" s="57"/>
    </row>
    <row r="59">
      <c r="A59" s="60" t="s">
        <v>229</v>
      </c>
      <c r="B59" s="95">
        <v>42790.0</v>
      </c>
      <c r="C59" s="93"/>
      <c r="D59" s="93"/>
      <c r="E59" s="93"/>
      <c r="F59" s="93"/>
      <c r="G59" s="93"/>
      <c r="H59" s="93"/>
      <c r="I59" s="93"/>
      <c r="J59" s="93"/>
      <c r="K59" s="93"/>
      <c r="L59" s="93"/>
      <c r="M59" s="93"/>
      <c r="N59" s="93"/>
      <c r="O59" s="93"/>
      <c r="P59" s="93"/>
      <c r="Q59" s="93"/>
      <c r="R59" s="57"/>
      <c r="S59" s="57"/>
      <c r="T59" s="57"/>
      <c r="U59" s="57"/>
      <c r="V59" s="57"/>
      <c r="W59" s="65" t="s">
        <v>1330</v>
      </c>
      <c r="X59" s="65"/>
      <c r="Y59" s="65"/>
      <c r="Z59" s="65" t="s">
        <v>1178</v>
      </c>
      <c r="AA59" s="65"/>
      <c r="AB59" s="65"/>
      <c r="AC59" s="65"/>
      <c r="AD59" s="65"/>
      <c r="AE59" s="65"/>
      <c r="AF59" s="65"/>
      <c r="AG59" s="65"/>
      <c r="AH59" s="65"/>
      <c r="AI59" s="65"/>
      <c r="AJ59" s="65"/>
      <c r="AK59" s="65"/>
      <c r="AL59" s="65"/>
      <c r="AM59" s="65"/>
      <c r="AN59" s="65" t="s">
        <v>1074</v>
      </c>
      <c r="AO59" s="65"/>
      <c r="AP59" s="65"/>
      <c r="AQ59" s="65"/>
      <c r="AR59" s="65"/>
      <c r="AS59" s="65"/>
      <c r="AT59" s="65"/>
      <c r="AU59" s="65"/>
      <c r="AV59" s="65"/>
      <c r="AW59" s="65"/>
      <c r="AX59" s="65"/>
      <c r="AY59" s="65"/>
      <c r="AZ59" s="65"/>
      <c r="BA59" s="65"/>
      <c r="BB59" s="65"/>
      <c r="BC59" s="65"/>
      <c r="BD59" s="65" t="s">
        <v>1076</v>
      </c>
      <c r="BE59" s="65"/>
      <c r="BF59" s="65"/>
      <c r="BG59" s="65"/>
      <c r="BH59" s="65"/>
      <c r="BI59" s="65"/>
      <c r="BJ59" s="65"/>
      <c r="BK59" s="65"/>
      <c r="BL59" s="65"/>
      <c r="BM59" s="60">
        <f t="shared" si="1"/>
        <v>4</v>
      </c>
      <c r="BN59" s="60" t="s">
        <v>1331</v>
      </c>
      <c r="BO59" s="57"/>
    </row>
    <row r="60">
      <c r="A60" s="60" t="s">
        <v>230</v>
      </c>
      <c r="B60" s="92" t="s">
        <v>1064</v>
      </c>
      <c r="C60" s="57"/>
      <c r="D60" s="57"/>
      <c r="E60" s="57"/>
      <c r="F60" s="57"/>
      <c r="G60" s="57"/>
      <c r="H60" s="57"/>
      <c r="I60" s="57"/>
      <c r="J60" s="57"/>
      <c r="K60" s="57"/>
      <c r="L60" s="57"/>
      <c r="M60" s="57"/>
      <c r="N60" s="57"/>
      <c r="O60" s="57"/>
      <c r="P60" s="57"/>
      <c r="Q60" s="57"/>
      <c r="R60" s="57"/>
      <c r="S60" s="57"/>
      <c r="T60" s="57"/>
      <c r="U60" s="57"/>
      <c r="V60" s="65" t="s">
        <v>1090</v>
      </c>
      <c r="W60" s="65"/>
      <c r="X60" s="65"/>
      <c r="Y60" s="65" t="s">
        <v>1332</v>
      </c>
      <c r="Z60" s="65"/>
      <c r="AA60" s="65" t="s">
        <v>1333</v>
      </c>
      <c r="AB60" s="65"/>
      <c r="AC60" s="65" t="s">
        <v>1334</v>
      </c>
      <c r="AD60" s="65" t="s">
        <v>1335</v>
      </c>
      <c r="AE60" s="65"/>
      <c r="AF60" s="65"/>
      <c r="AG60" s="65"/>
      <c r="AH60" s="65"/>
      <c r="AI60" s="65" t="s">
        <v>1336</v>
      </c>
      <c r="AJ60" s="65"/>
      <c r="AK60" s="65"/>
      <c r="AL60" s="65"/>
      <c r="AM60" s="65"/>
      <c r="AN60" s="65"/>
      <c r="AO60" s="65" t="s">
        <v>1337</v>
      </c>
      <c r="AP60" s="65"/>
      <c r="AQ60" s="65"/>
      <c r="AR60" s="65"/>
      <c r="AS60" s="65"/>
      <c r="AT60" s="65"/>
      <c r="AU60" s="65"/>
      <c r="AV60" s="65"/>
      <c r="AW60" s="65"/>
      <c r="AX60" s="65"/>
      <c r="AY60" s="65"/>
      <c r="AZ60" s="65"/>
      <c r="BA60" s="65"/>
      <c r="BB60" s="65" t="s">
        <v>1338</v>
      </c>
      <c r="BC60" s="65" t="s">
        <v>1339</v>
      </c>
      <c r="BD60" s="65"/>
      <c r="BE60" s="65"/>
      <c r="BF60" s="65"/>
      <c r="BG60" s="65"/>
      <c r="BH60" s="65"/>
      <c r="BI60" s="65"/>
      <c r="BJ60" s="65"/>
      <c r="BK60" s="65"/>
      <c r="BL60" s="65"/>
      <c r="BM60" s="60">
        <f t="shared" si="1"/>
        <v>9</v>
      </c>
      <c r="BN60" s="60" t="s">
        <v>1340</v>
      </c>
      <c r="BO60" s="57"/>
    </row>
    <row r="61">
      <c r="A61" s="60" t="s">
        <v>232</v>
      </c>
      <c r="B61" s="95">
        <v>42748.0</v>
      </c>
      <c r="C61" s="93"/>
      <c r="D61" s="93"/>
      <c r="E61" s="93"/>
      <c r="F61" s="93"/>
      <c r="G61" s="93"/>
      <c r="H61" s="93"/>
      <c r="I61" s="93"/>
      <c r="J61" s="93"/>
      <c r="K61" s="93"/>
      <c r="L61" s="93"/>
      <c r="M61" s="93"/>
      <c r="N61" s="93"/>
      <c r="O61" s="93"/>
      <c r="P61" s="93"/>
      <c r="Q61" s="93"/>
      <c r="R61" s="57"/>
      <c r="S61" s="57"/>
      <c r="T61" s="57"/>
      <c r="U61" s="57"/>
      <c r="V61" s="57"/>
      <c r="W61" s="57"/>
      <c r="X61" s="57"/>
      <c r="Y61" s="57"/>
      <c r="Z61" s="57"/>
      <c r="AA61" s="57"/>
      <c r="AB61" s="57"/>
      <c r="AC61" s="65" t="s">
        <v>1100</v>
      </c>
      <c r="AD61" s="65"/>
      <c r="AE61" s="65"/>
      <c r="AF61" s="65"/>
      <c r="AG61" s="65"/>
      <c r="AH61" s="65"/>
      <c r="AI61" s="65"/>
      <c r="AJ61" s="65" t="s">
        <v>1121</v>
      </c>
      <c r="AK61" s="65"/>
      <c r="AL61" s="65"/>
      <c r="AM61" s="65" t="s">
        <v>1341</v>
      </c>
      <c r="AN61" s="65"/>
      <c r="AO61" s="65"/>
      <c r="AP61" s="65"/>
      <c r="AQ61" s="65"/>
      <c r="AR61" s="65"/>
      <c r="AS61" s="65"/>
      <c r="AT61" s="65"/>
      <c r="AU61" s="65"/>
      <c r="AV61" s="65"/>
      <c r="AW61" s="65"/>
      <c r="AX61" s="65"/>
      <c r="AY61" s="65"/>
      <c r="AZ61" s="65"/>
      <c r="BA61" s="65"/>
      <c r="BB61" s="65"/>
      <c r="BC61" s="65"/>
      <c r="BD61" s="65"/>
      <c r="BE61" s="65"/>
      <c r="BF61" s="65"/>
      <c r="BG61" s="65"/>
      <c r="BH61" s="65"/>
      <c r="BI61" s="65"/>
      <c r="BJ61" s="65"/>
      <c r="BK61" s="65"/>
      <c r="BL61" s="65"/>
      <c r="BM61" s="60">
        <f t="shared" si="1"/>
        <v>3</v>
      </c>
      <c r="BN61" s="60" t="s">
        <v>1342</v>
      </c>
      <c r="BO61" s="57"/>
    </row>
    <row r="62">
      <c r="A62" s="60" t="s">
        <v>234</v>
      </c>
      <c r="B62" s="92" t="s">
        <v>1239</v>
      </c>
      <c r="C62" s="93"/>
      <c r="D62" s="93"/>
      <c r="E62" s="93"/>
      <c r="F62" s="93"/>
      <c r="G62" s="57"/>
      <c r="H62" s="65" t="s">
        <v>1343</v>
      </c>
      <c r="I62" s="57"/>
      <c r="J62" s="57"/>
      <c r="K62" s="57"/>
      <c r="L62" s="57"/>
      <c r="M62" s="57"/>
      <c r="N62" s="57"/>
      <c r="O62" s="65" t="s">
        <v>1344</v>
      </c>
      <c r="P62" s="57"/>
      <c r="Q62" s="65" t="s">
        <v>1345</v>
      </c>
      <c r="R62" s="57"/>
      <c r="S62" s="57"/>
      <c r="T62" s="65" t="s">
        <v>1346</v>
      </c>
      <c r="U62" s="57"/>
      <c r="V62" s="57"/>
      <c r="W62" s="65" t="s">
        <v>1069</v>
      </c>
      <c r="X62" s="65"/>
      <c r="Y62" s="65"/>
      <c r="Z62" s="65" t="s">
        <v>1347</v>
      </c>
      <c r="AA62" s="65"/>
      <c r="AB62" s="65"/>
      <c r="AC62" s="65" t="s">
        <v>1069</v>
      </c>
      <c r="AD62" s="65"/>
      <c r="AE62" s="65"/>
      <c r="AF62" s="65"/>
      <c r="AG62" s="65"/>
      <c r="AH62" s="65"/>
      <c r="AI62" s="65"/>
      <c r="AJ62" s="65"/>
      <c r="AK62" s="65"/>
      <c r="AL62" s="65"/>
      <c r="AM62" s="65"/>
      <c r="AN62" s="65"/>
      <c r="AO62" s="65"/>
      <c r="AP62" s="65"/>
      <c r="AQ62" s="65"/>
      <c r="AR62" s="65"/>
      <c r="AS62" s="65"/>
      <c r="AT62" s="65"/>
      <c r="AU62" s="65"/>
      <c r="AV62" s="65"/>
      <c r="AW62" s="65"/>
      <c r="AX62" s="65"/>
      <c r="AY62" s="65"/>
      <c r="AZ62" s="65"/>
      <c r="BA62" s="65"/>
      <c r="BB62" s="65"/>
      <c r="BC62" s="65"/>
      <c r="BD62" s="65"/>
      <c r="BE62" s="65"/>
      <c r="BF62" s="65" t="s">
        <v>1348</v>
      </c>
      <c r="BG62" s="65"/>
      <c r="BH62" s="65"/>
      <c r="BI62" s="65"/>
      <c r="BJ62" s="65"/>
      <c r="BK62" s="65"/>
      <c r="BL62" s="65"/>
      <c r="BM62" s="60">
        <f t="shared" si="1"/>
        <v>8</v>
      </c>
      <c r="BN62" s="60" t="s">
        <v>1349</v>
      </c>
      <c r="BO62" s="57"/>
    </row>
    <row r="63">
      <c r="A63" s="60" t="s">
        <v>236</v>
      </c>
      <c r="B63" s="95">
        <v>43348.0</v>
      </c>
      <c r="C63" s="93"/>
      <c r="D63" s="93"/>
      <c r="E63" s="93"/>
      <c r="F63" s="93"/>
      <c r="G63" s="93"/>
      <c r="H63" s="93"/>
      <c r="I63" s="93"/>
      <c r="J63" s="93"/>
      <c r="K63" s="93"/>
      <c r="L63" s="93"/>
      <c r="M63" s="93"/>
      <c r="N63" s="93"/>
      <c r="O63" s="93"/>
      <c r="P63" s="93"/>
      <c r="Q63" s="93"/>
      <c r="R63" s="93"/>
      <c r="S63" s="93"/>
      <c r="T63" s="94"/>
      <c r="U63" s="94"/>
      <c r="V63" s="94"/>
      <c r="W63" s="94"/>
      <c r="X63" s="94"/>
      <c r="Y63" s="94"/>
      <c r="Z63" s="94"/>
      <c r="AA63" s="94"/>
      <c r="AB63" s="94"/>
      <c r="AC63" s="94"/>
      <c r="AD63" s="94"/>
      <c r="AE63" s="94"/>
      <c r="AF63" s="94"/>
      <c r="AG63" s="94"/>
      <c r="AH63" s="65"/>
      <c r="AI63" s="65" t="s">
        <v>1190</v>
      </c>
      <c r="AJ63" s="65"/>
      <c r="AK63" s="65"/>
      <c r="AL63" s="65" t="s">
        <v>1350</v>
      </c>
      <c r="AM63" s="65"/>
      <c r="AN63" s="65"/>
      <c r="AO63" s="65"/>
      <c r="AP63" s="65"/>
      <c r="AQ63" s="65"/>
      <c r="AR63" s="65" t="s">
        <v>1105</v>
      </c>
      <c r="AS63" s="65"/>
      <c r="AT63" s="65"/>
      <c r="AU63" s="65"/>
      <c r="AV63" s="65"/>
      <c r="AW63" s="65"/>
      <c r="AX63" s="65"/>
      <c r="AY63" s="65"/>
      <c r="AZ63" s="65"/>
      <c r="BA63" s="65"/>
      <c r="BB63" s="65"/>
      <c r="BC63" s="65"/>
      <c r="BD63" s="65"/>
      <c r="BE63" s="65"/>
      <c r="BF63" s="65"/>
      <c r="BG63" s="65"/>
      <c r="BH63" s="65"/>
      <c r="BI63" s="65"/>
      <c r="BJ63" s="65" t="s">
        <v>1107</v>
      </c>
      <c r="BK63" s="65"/>
      <c r="BL63" s="65"/>
      <c r="BM63" s="60">
        <f t="shared" si="1"/>
        <v>4</v>
      </c>
      <c r="BN63" s="60" t="s">
        <v>1351</v>
      </c>
      <c r="BO63" s="57"/>
    </row>
    <row r="64">
      <c r="A64" s="60" t="s">
        <v>238</v>
      </c>
      <c r="B64" s="92" t="s">
        <v>1352</v>
      </c>
      <c r="C64" s="93"/>
      <c r="D64" s="93"/>
      <c r="E64" s="93"/>
      <c r="F64" s="93"/>
      <c r="G64" s="93"/>
      <c r="H64" s="93"/>
      <c r="I64" s="93"/>
      <c r="J64" s="93"/>
      <c r="K64" s="93"/>
      <c r="L64" s="93"/>
      <c r="M64" s="93"/>
      <c r="N64" s="57"/>
      <c r="O64" s="57"/>
      <c r="P64" s="57"/>
      <c r="Q64" s="57"/>
      <c r="R64" s="65" t="s">
        <v>1353</v>
      </c>
      <c r="S64" s="57"/>
      <c r="T64" s="57"/>
      <c r="U64" s="57"/>
      <c r="V64" s="57"/>
      <c r="W64" s="65" t="s">
        <v>1354</v>
      </c>
      <c r="X64" s="65"/>
      <c r="Y64" s="65"/>
      <c r="Z64" s="65"/>
      <c r="AA64" s="65"/>
      <c r="AB64" s="65" t="s">
        <v>1355</v>
      </c>
      <c r="AC64" s="65"/>
      <c r="AD64" s="65"/>
      <c r="AE64" s="65"/>
      <c r="AF64" s="65"/>
      <c r="AG64" s="65" t="s">
        <v>1266</v>
      </c>
      <c r="AH64" s="65"/>
      <c r="AI64" s="65"/>
      <c r="AJ64" s="65"/>
      <c r="AK64" s="65"/>
      <c r="AL64" s="65"/>
      <c r="AM64" s="65"/>
      <c r="AN64" s="65"/>
      <c r="AO64" s="65"/>
      <c r="AP64" s="65"/>
      <c r="AQ64" s="65"/>
      <c r="AR64" s="65"/>
      <c r="AS64" s="65"/>
      <c r="AT64" s="65"/>
      <c r="AU64" s="65"/>
      <c r="AV64" s="65"/>
      <c r="AW64" s="65"/>
      <c r="AX64" s="65"/>
      <c r="AY64" s="65"/>
      <c r="AZ64" s="65"/>
      <c r="BA64" s="65"/>
      <c r="BB64" s="65"/>
      <c r="BC64" s="65"/>
      <c r="BD64" s="65"/>
      <c r="BE64" s="65"/>
      <c r="BF64" s="65"/>
      <c r="BG64" s="65"/>
      <c r="BH64" s="65"/>
      <c r="BI64" s="65"/>
      <c r="BJ64" s="65"/>
      <c r="BK64" s="65"/>
      <c r="BL64" s="65"/>
      <c r="BM64" s="60">
        <f t="shared" si="1"/>
        <v>4</v>
      </c>
      <c r="BN64" s="60" t="s">
        <v>1356</v>
      </c>
      <c r="BO64" s="57"/>
    </row>
    <row r="65">
      <c r="A65" s="60" t="s">
        <v>251</v>
      </c>
      <c r="B65" s="92" t="s">
        <v>1357</v>
      </c>
      <c r="C65" s="93"/>
      <c r="D65" s="93"/>
      <c r="E65" s="93"/>
      <c r="F65" s="93"/>
      <c r="G65" s="93"/>
      <c r="H65" s="93"/>
      <c r="I65" s="93"/>
      <c r="J65" s="93"/>
      <c r="K65" s="93"/>
      <c r="L65" s="93"/>
      <c r="M65" s="93"/>
      <c r="N65" s="93"/>
      <c r="O65" s="93"/>
      <c r="P65" s="57"/>
      <c r="Q65" s="57"/>
      <c r="R65" s="65" t="s">
        <v>1358</v>
      </c>
      <c r="S65" s="65" t="s">
        <v>1359</v>
      </c>
      <c r="T65" s="57"/>
      <c r="U65" s="57"/>
      <c r="V65" s="65" t="s">
        <v>1360</v>
      </c>
      <c r="W65" s="65"/>
      <c r="X65" s="65"/>
      <c r="Y65" s="65"/>
      <c r="Z65" s="65"/>
      <c r="AA65" s="65"/>
      <c r="AB65" s="65"/>
      <c r="AC65" s="65"/>
      <c r="AD65" s="65"/>
      <c r="AE65" s="65"/>
      <c r="AF65" s="65"/>
      <c r="AG65" s="65"/>
      <c r="AH65" s="65"/>
      <c r="AI65" s="65"/>
      <c r="AJ65" s="65"/>
      <c r="AK65" s="65"/>
      <c r="AL65" s="65"/>
      <c r="AM65" s="65"/>
      <c r="AN65" s="65"/>
      <c r="AO65" s="65"/>
      <c r="AP65" s="65"/>
      <c r="AQ65" s="65" t="s">
        <v>1361</v>
      </c>
      <c r="AR65" s="65" t="s">
        <v>1089</v>
      </c>
      <c r="AS65" s="65"/>
      <c r="AT65" s="65"/>
      <c r="AU65" s="65"/>
      <c r="AV65" s="65"/>
      <c r="AW65" s="65"/>
      <c r="AX65" s="65"/>
      <c r="AY65" s="65"/>
      <c r="AZ65" s="65"/>
      <c r="BA65" s="65"/>
      <c r="BB65" s="65"/>
      <c r="BC65" s="65"/>
      <c r="BD65" s="65" t="s">
        <v>1081</v>
      </c>
      <c r="BE65" s="65"/>
      <c r="BF65" s="65"/>
      <c r="BG65" s="65"/>
      <c r="BH65" s="65"/>
      <c r="BI65" s="65" t="s">
        <v>1362</v>
      </c>
      <c r="BJ65" s="65"/>
      <c r="BK65" s="65" t="s">
        <v>1363</v>
      </c>
      <c r="BL65" s="65" t="s">
        <v>1364</v>
      </c>
      <c r="BM65" s="60">
        <f t="shared" si="1"/>
        <v>9</v>
      </c>
      <c r="BN65" s="60" t="s">
        <v>1365</v>
      </c>
      <c r="BO65" s="57"/>
    </row>
    <row r="66">
      <c r="A66" s="60" t="s">
        <v>252</v>
      </c>
      <c r="B66" s="92" t="s">
        <v>1064</v>
      </c>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65" t="s">
        <v>1074</v>
      </c>
      <c r="AF66" s="65"/>
      <c r="AG66" s="65"/>
      <c r="AH66" s="65"/>
      <c r="AI66" s="65"/>
      <c r="AJ66" s="65"/>
      <c r="AK66" s="65"/>
      <c r="AL66" s="65"/>
      <c r="AM66" s="65"/>
      <c r="AN66" s="65"/>
      <c r="AO66" s="65"/>
      <c r="AP66" s="65"/>
      <c r="AQ66" s="65"/>
      <c r="AR66" s="65" t="s">
        <v>1075</v>
      </c>
      <c r="AS66" s="65"/>
      <c r="AT66" s="65"/>
      <c r="AU66" s="65"/>
      <c r="AV66" s="65"/>
      <c r="AW66" s="65"/>
      <c r="AX66" s="65"/>
      <c r="AY66" s="65"/>
      <c r="AZ66" s="65"/>
      <c r="BA66" s="65"/>
      <c r="BB66" s="65"/>
      <c r="BC66" s="65"/>
      <c r="BD66" s="65" t="s">
        <v>1076</v>
      </c>
      <c r="BE66" s="65"/>
      <c r="BF66" s="65"/>
      <c r="BG66" s="65"/>
      <c r="BH66" s="65"/>
      <c r="BI66" s="65"/>
      <c r="BJ66" s="65"/>
      <c r="BK66" s="65"/>
      <c r="BL66" s="65"/>
      <c r="BM66" s="60">
        <f t="shared" si="1"/>
        <v>3</v>
      </c>
      <c r="BN66" s="60" t="s">
        <v>1366</v>
      </c>
      <c r="BO66" s="57"/>
    </row>
    <row r="67">
      <c r="A67" s="60" t="s">
        <v>253</v>
      </c>
      <c r="B67" s="92" t="s">
        <v>1183</v>
      </c>
      <c r="C67" s="93"/>
      <c r="D67" s="93"/>
      <c r="E67" s="93"/>
      <c r="F67" s="93"/>
      <c r="G67" s="93"/>
      <c r="H67" s="93"/>
      <c r="I67" s="57"/>
      <c r="J67" s="65" t="s">
        <v>1367</v>
      </c>
      <c r="K67" s="65" t="s">
        <v>1245</v>
      </c>
      <c r="L67" s="57"/>
      <c r="M67" s="57"/>
      <c r="N67" s="57"/>
      <c r="O67" s="57"/>
      <c r="P67" s="57"/>
      <c r="Q67" s="57"/>
      <c r="R67" s="57"/>
      <c r="S67" s="57"/>
      <c r="T67" s="57"/>
      <c r="U67" s="57"/>
      <c r="V67" s="65" t="s">
        <v>1091</v>
      </c>
      <c r="W67" s="65"/>
      <c r="X67" s="65"/>
      <c r="Y67" s="65"/>
      <c r="Z67" s="65"/>
      <c r="AA67" s="65"/>
      <c r="AB67" s="65"/>
      <c r="AC67" s="65"/>
      <c r="AD67" s="65"/>
      <c r="AE67" s="65"/>
      <c r="AF67" s="65" t="s">
        <v>1368</v>
      </c>
      <c r="AG67" s="65"/>
      <c r="AH67" s="65"/>
      <c r="AI67" s="65"/>
      <c r="AJ67" s="65"/>
      <c r="AK67" s="65"/>
      <c r="AL67" s="65"/>
      <c r="AM67" s="65"/>
      <c r="AN67" s="65"/>
      <c r="AO67" s="65"/>
      <c r="AP67" s="65"/>
      <c r="AQ67" s="65"/>
      <c r="AR67" s="65"/>
      <c r="AS67" s="65"/>
      <c r="AT67" s="65"/>
      <c r="AU67" s="65"/>
      <c r="AV67" s="65"/>
      <c r="AW67" s="65"/>
      <c r="AX67" s="65"/>
      <c r="AY67" s="65"/>
      <c r="AZ67" s="65"/>
      <c r="BA67" s="65"/>
      <c r="BB67" s="65"/>
      <c r="BC67" s="65" t="s">
        <v>1369</v>
      </c>
      <c r="BD67" s="65"/>
      <c r="BE67" s="65"/>
      <c r="BF67" s="65"/>
      <c r="BG67" s="65" t="s">
        <v>1370</v>
      </c>
      <c r="BH67" s="65"/>
      <c r="BI67" s="65"/>
      <c r="BJ67" s="65"/>
      <c r="BK67" s="65"/>
      <c r="BL67" s="65" t="s">
        <v>1371</v>
      </c>
      <c r="BM67" s="60">
        <f t="shared" si="1"/>
        <v>7</v>
      </c>
      <c r="BN67" s="60" t="s">
        <v>1372</v>
      </c>
      <c r="BO67" s="57"/>
    </row>
    <row r="68">
      <c r="A68" s="60" t="s">
        <v>256</v>
      </c>
      <c r="B68" s="95">
        <v>43081.0</v>
      </c>
      <c r="C68" s="93"/>
      <c r="D68" s="93"/>
      <c r="E68" s="93"/>
      <c r="F68" s="93"/>
      <c r="G68" s="93"/>
      <c r="H68" s="93"/>
      <c r="I68" s="93"/>
      <c r="J68" s="93"/>
      <c r="K68" s="93"/>
      <c r="L68" s="93"/>
      <c r="M68" s="93"/>
      <c r="N68" s="93"/>
      <c r="O68" s="93"/>
      <c r="P68" s="93"/>
      <c r="Q68" s="93"/>
      <c r="R68" s="93"/>
      <c r="S68" s="93"/>
      <c r="T68" s="94"/>
      <c r="U68" s="94"/>
      <c r="V68" s="94"/>
      <c r="W68" s="94"/>
      <c r="X68" s="94"/>
      <c r="Y68" s="94"/>
      <c r="Z68" s="65"/>
      <c r="AA68" s="65" t="s">
        <v>1254</v>
      </c>
      <c r="AB68" s="65"/>
      <c r="AC68" s="65"/>
      <c r="AD68" s="65"/>
      <c r="AE68" s="65"/>
      <c r="AF68" s="65"/>
      <c r="AG68" s="65"/>
      <c r="AH68" s="65"/>
      <c r="AI68" s="65"/>
      <c r="AJ68" s="65"/>
      <c r="AK68" s="65"/>
      <c r="AL68" s="65"/>
      <c r="AM68" s="65"/>
      <c r="AN68" s="65"/>
      <c r="AO68" s="65"/>
      <c r="AP68" s="65"/>
      <c r="AQ68" s="65"/>
      <c r="AR68" s="65"/>
      <c r="AS68" s="65"/>
      <c r="AT68" s="65"/>
      <c r="AU68" s="65" t="s">
        <v>1078</v>
      </c>
      <c r="AV68" s="65"/>
      <c r="AW68" s="65"/>
      <c r="AX68" s="65"/>
      <c r="AY68" s="65"/>
      <c r="AZ68" s="65"/>
      <c r="BA68" s="65"/>
      <c r="BB68" s="65"/>
      <c r="BC68" s="65"/>
      <c r="BD68" s="65"/>
      <c r="BE68" s="65"/>
      <c r="BF68" s="65"/>
      <c r="BG68" s="65"/>
      <c r="BH68" s="65"/>
      <c r="BI68" s="65"/>
      <c r="BJ68" s="65"/>
      <c r="BK68" s="65" t="s">
        <v>1373</v>
      </c>
      <c r="BL68" s="65"/>
      <c r="BM68" s="60">
        <f t="shared" si="1"/>
        <v>3</v>
      </c>
      <c r="BN68" s="60" t="s">
        <v>1374</v>
      </c>
      <c r="BO68" s="57"/>
    </row>
    <row r="69">
      <c r="A69" s="60" t="s">
        <v>274</v>
      </c>
      <c r="B69" s="92" t="s">
        <v>1064</v>
      </c>
      <c r="C69" s="57"/>
      <c r="D69" s="65" t="s">
        <v>1375</v>
      </c>
      <c r="E69" s="57"/>
      <c r="F69" s="65" t="s">
        <v>1376</v>
      </c>
      <c r="G69" s="57"/>
      <c r="H69" s="57"/>
      <c r="I69" s="57"/>
      <c r="J69" s="65" t="s">
        <v>1377</v>
      </c>
      <c r="K69" s="57"/>
      <c r="L69" s="57"/>
      <c r="M69" s="65" t="s">
        <v>1378</v>
      </c>
      <c r="N69" s="57"/>
      <c r="O69" s="65" t="s">
        <v>1069</v>
      </c>
      <c r="P69" s="65"/>
      <c r="Q69" s="57"/>
      <c r="R69" s="57"/>
      <c r="S69" s="57"/>
      <c r="T69" s="57"/>
      <c r="U69" s="57"/>
      <c r="V69" s="57"/>
      <c r="W69" s="57"/>
      <c r="X69" s="57"/>
      <c r="Y69" s="57"/>
      <c r="Z69" s="57"/>
      <c r="AA69" s="57"/>
      <c r="AB69" s="57"/>
      <c r="AC69" s="57"/>
      <c r="AD69" s="57"/>
      <c r="AE69" s="57"/>
      <c r="AF69" s="57"/>
      <c r="AG69" s="57"/>
      <c r="AH69" s="57"/>
      <c r="AI69" s="57"/>
      <c r="AJ69" s="57"/>
      <c r="AK69" s="57"/>
      <c r="AL69" s="65" t="s">
        <v>1069</v>
      </c>
      <c r="AM69" s="65"/>
      <c r="AN69" s="65"/>
      <c r="AO69" s="65"/>
      <c r="AP69" s="65"/>
      <c r="AQ69" s="65"/>
      <c r="AR69" s="65"/>
      <c r="AS69" s="65"/>
      <c r="AT69" s="65"/>
      <c r="AU69" s="65"/>
      <c r="AV69" s="65"/>
      <c r="AW69" s="65"/>
      <c r="AX69" s="65"/>
      <c r="AY69" s="65"/>
      <c r="AZ69" s="65"/>
      <c r="BA69" s="65" t="s">
        <v>1379</v>
      </c>
      <c r="BB69" s="65"/>
      <c r="BC69" s="65"/>
      <c r="BD69" s="65"/>
      <c r="BE69" s="65"/>
      <c r="BF69" s="65"/>
      <c r="BG69" s="65"/>
      <c r="BH69" s="65"/>
      <c r="BI69" s="65"/>
      <c r="BJ69" s="65"/>
      <c r="BK69" s="65"/>
      <c r="BL69" s="65" t="s">
        <v>1380</v>
      </c>
      <c r="BM69" s="60">
        <f t="shared" si="1"/>
        <v>8</v>
      </c>
      <c r="BN69" s="60" t="s">
        <v>1381</v>
      </c>
      <c r="BO69" s="57"/>
    </row>
    <row r="70">
      <c r="A70" s="60" t="s">
        <v>276</v>
      </c>
      <c r="B70" s="95">
        <v>43459.0</v>
      </c>
      <c r="C70" s="93"/>
      <c r="D70" s="93"/>
      <c r="E70" s="93"/>
      <c r="F70" s="93"/>
      <c r="G70" s="93"/>
      <c r="H70" s="93"/>
      <c r="I70" s="93"/>
      <c r="J70" s="93"/>
      <c r="K70" s="93"/>
      <c r="L70" s="93"/>
      <c r="M70" s="93"/>
      <c r="N70" s="93"/>
      <c r="O70" s="93"/>
      <c r="P70" s="93"/>
      <c r="Q70" s="93"/>
      <c r="R70" s="93"/>
      <c r="S70" s="93"/>
      <c r="T70" s="93"/>
      <c r="U70" s="93"/>
      <c r="V70" s="93"/>
      <c r="W70" s="94"/>
      <c r="X70" s="94"/>
      <c r="Y70" s="94"/>
      <c r="Z70" s="94"/>
      <c r="AA70" s="94"/>
      <c r="AB70" s="94"/>
      <c r="AC70" s="94"/>
      <c r="AD70" s="94"/>
      <c r="AE70" s="94"/>
      <c r="AF70" s="94"/>
      <c r="AG70" s="94"/>
      <c r="AH70" s="94"/>
      <c r="AI70" s="94"/>
      <c r="AJ70" s="94"/>
      <c r="AK70" s="65"/>
      <c r="AL70" s="65"/>
      <c r="AM70" s="65"/>
      <c r="AN70" s="65"/>
      <c r="AO70" s="65" t="s">
        <v>1382</v>
      </c>
      <c r="AP70" s="65"/>
      <c r="AQ70" s="65"/>
      <c r="AR70" s="65"/>
      <c r="AS70" s="65"/>
      <c r="AT70" s="65"/>
      <c r="AU70" s="65"/>
      <c r="AV70" s="65"/>
      <c r="AW70" s="65"/>
      <c r="AX70" s="65"/>
      <c r="AY70" s="65"/>
      <c r="AZ70" s="65"/>
      <c r="BA70" s="65"/>
      <c r="BB70" s="65"/>
      <c r="BC70" s="65"/>
      <c r="BD70" s="65"/>
      <c r="BE70" s="65"/>
      <c r="BF70" s="65"/>
      <c r="BG70" s="65"/>
      <c r="BH70" s="65"/>
      <c r="BI70" s="65"/>
      <c r="BJ70" s="65"/>
      <c r="BK70" s="65"/>
      <c r="BL70" s="65"/>
      <c r="BM70" s="60">
        <f t="shared" si="1"/>
        <v>1</v>
      </c>
      <c r="BN70" s="60" t="s">
        <v>1382</v>
      </c>
      <c r="BO70" s="57"/>
    </row>
    <row r="71">
      <c r="A71" s="60" t="s">
        <v>278</v>
      </c>
      <c r="B71" s="92" t="s">
        <v>1183</v>
      </c>
      <c r="C71" s="93"/>
      <c r="D71" s="93"/>
      <c r="E71" s="93"/>
      <c r="F71" s="94"/>
      <c r="G71" s="93"/>
      <c r="H71" s="93"/>
      <c r="I71" s="57"/>
      <c r="J71" s="65" t="s">
        <v>1383</v>
      </c>
      <c r="K71" s="65" t="s">
        <v>1384</v>
      </c>
      <c r="L71" s="57"/>
      <c r="M71" s="57"/>
      <c r="N71" s="57"/>
      <c r="O71" s="57"/>
      <c r="P71" s="57"/>
      <c r="Q71" s="65" t="s">
        <v>1385</v>
      </c>
      <c r="R71" s="57"/>
      <c r="S71" s="57"/>
      <c r="T71" s="57"/>
      <c r="U71" s="57"/>
      <c r="V71" s="57"/>
      <c r="W71" s="57"/>
      <c r="X71" s="57"/>
      <c r="Y71" s="57"/>
      <c r="Z71" s="57"/>
      <c r="AA71" s="65" t="s">
        <v>1090</v>
      </c>
      <c r="AB71" s="65"/>
      <c r="AC71" s="65"/>
      <c r="AD71" s="65"/>
      <c r="AE71" s="65"/>
      <c r="AF71" s="65"/>
      <c r="AG71" s="65"/>
      <c r="AH71" s="65"/>
      <c r="AI71" s="65"/>
      <c r="AJ71" s="65"/>
      <c r="AK71" s="65"/>
      <c r="AL71" s="65"/>
      <c r="AM71" s="65"/>
      <c r="AN71" s="65"/>
      <c r="AO71" s="65"/>
      <c r="AP71" s="65"/>
      <c r="AQ71" s="65"/>
      <c r="AR71" s="65"/>
      <c r="AS71" s="65"/>
      <c r="AT71" s="65"/>
      <c r="AU71" s="65"/>
      <c r="AV71" s="65"/>
      <c r="AW71" s="65"/>
      <c r="AX71" s="65"/>
      <c r="AY71" s="65" t="s">
        <v>1386</v>
      </c>
      <c r="AZ71" s="65"/>
      <c r="BA71" s="65"/>
      <c r="BB71" s="65"/>
      <c r="BC71" s="65"/>
      <c r="BD71" s="65"/>
      <c r="BE71" s="65"/>
      <c r="BF71" s="65"/>
      <c r="BG71" s="65"/>
      <c r="BH71" s="65"/>
      <c r="BI71" s="65"/>
      <c r="BJ71" s="65"/>
      <c r="BK71" s="65"/>
      <c r="BL71" s="65"/>
      <c r="BM71" s="60">
        <f t="shared" si="1"/>
        <v>5</v>
      </c>
      <c r="BN71" s="60" t="s">
        <v>1387</v>
      </c>
      <c r="BO71" s="57"/>
    </row>
    <row r="72">
      <c r="A72" s="60" t="s">
        <v>282</v>
      </c>
      <c r="B72" s="92" t="s">
        <v>1064</v>
      </c>
      <c r="C72" s="57"/>
      <c r="D72" s="57"/>
      <c r="E72" s="65" t="s">
        <v>1388</v>
      </c>
      <c r="F72" s="57"/>
      <c r="G72" s="65" t="s">
        <v>1091</v>
      </c>
      <c r="H72" s="65" t="s">
        <v>1389</v>
      </c>
      <c r="I72" s="57"/>
      <c r="J72" s="65" t="s">
        <v>1090</v>
      </c>
      <c r="K72" s="65" t="s">
        <v>1390</v>
      </c>
      <c r="L72" s="57"/>
      <c r="M72" s="57"/>
      <c r="N72" s="57"/>
      <c r="O72" s="57"/>
      <c r="P72" s="57"/>
      <c r="Q72" s="57"/>
      <c r="R72" s="57"/>
      <c r="S72" s="57"/>
      <c r="T72" s="57"/>
      <c r="U72" s="57"/>
      <c r="V72" s="57"/>
      <c r="W72" s="57"/>
      <c r="X72" s="57"/>
      <c r="Y72" s="65" t="s">
        <v>1391</v>
      </c>
      <c r="Z72" s="65"/>
      <c r="AA72" s="65"/>
      <c r="AB72" s="65"/>
      <c r="AC72" s="65"/>
      <c r="AD72" s="65"/>
      <c r="AE72" s="65"/>
      <c r="AF72" s="65"/>
      <c r="AG72" s="65" t="s">
        <v>1392</v>
      </c>
      <c r="AH72" s="65"/>
      <c r="AI72" s="65"/>
      <c r="AJ72" s="65"/>
      <c r="AK72" s="65" t="s">
        <v>1393</v>
      </c>
      <c r="AL72" s="65"/>
      <c r="AM72" s="65"/>
      <c r="AN72" s="65"/>
      <c r="AO72" s="65"/>
      <c r="AP72" s="65"/>
      <c r="AQ72" s="65"/>
      <c r="AR72" s="65"/>
      <c r="AS72" s="65"/>
      <c r="AT72" s="65"/>
      <c r="AU72" s="65"/>
      <c r="AV72" s="65"/>
      <c r="AW72" s="65"/>
      <c r="AX72" s="65"/>
      <c r="AY72" s="65"/>
      <c r="AZ72" s="65"/>
      <c r="BA72" s="65"/>
      <c r="BB72" s="65"/>
      <c r="BC72" s="65"/>
      <c r="BD72" s="65"/>
      <c r="BE72" s="65"/>
      <c r="BF72" s="65"/>
      <c r="BG72" s="65"/>
      <c r="BH72" s="65"/>
      <c r="BI72" s="65"/>
      <c r="BJ72" s="65"/>
      <c r="BK72" s="65"/>
      <c r="BL72" s="65"/>
      <c r="BM72" s="60">
        <f t="shared" si="1"/>
        <v>8</v>
      </c>
      <c r="BN72" s="60" t="s">
        <v>1394</v>
      </c>
      <c r="BO72" s="57"/>
    </row>
    <row r="73">
      <c r="A73" s="60" t="s">
        <v>284</v>
      </c>
      <c r="B73" s="92" t="s">
        <v>1395</v>
      </c>
      <c r="C73" s="93"/>
      <c r="D73" s="93"/>
      <c r="E73" s="93"/>
      <c r="F73" s="93"/>
      <c r="G73" s="93"/>
      <c r="H73" s="93"/>
      <c r="I73" s="93"/>
      <c r="J73" s="93"/>
      <c r="K73" s="93"/>
      <c r="L73" s="93"/>
      <c r="M73" s="93"/>
      <c r="N73" s="93"/>
      <c r="O73" s="93"/>
      <c r="P73" s="93"/>
      <c r="Q73" s="93"/>
      <c r="R73" s="94"/>
      <c r="S73" s="94"/>
      <c r="T73" s="93"/>
      <c r="U73" s="93"/>
      <c r="V73" s="94"/>
      <c r="W73" s="94"/>
      <c r="X73" s="94"/>
      <c r="Y73" s="94"/>
      <c r="Z73" s="94"/>
      <c r="AA73" s="94"/>
      <c r="AB73" s="94"/>
      <c r="AC73" s="94"/>
      <c r="AD73" s="94"/>
      <c r="AE73" s="94"/>
      <c r="AF73" s="94"/>
      <c r="AG73" s="94"/>
      <c r="AH73" s="94"/>
      <c r="AI73" s="94"/>
      <c r="AJ73" s="94"/>
      <c r="AK73" s="94"/>
      <c r="AL73" s="94"/>
      <c r="AM73" s="94"/>
      <c r="AN73" s="94"/>
      <c r="AO73" s="94"/>
      <c r="AP73" s="94"/>
      <c r="AQ73" s="94"/>
      <c r="AR73" s="94"/>
      <c r="AS73" s="94"/>
      <c r="AT73" s="94"/>
      <c r="AU73" s="94"/>
      <c r="AV73" s="94"/>
      <c r="AW73" s="94"/>
      <c r="AX73" s="94"/>
      <c r="AY73" s="94"/>
      <c r="AZ73" s="94"/>
      <c r="BA73" s="94"/>
      <c r="BB73" s="94"/>
      <c r="BC73" s="94"/>
      <c r="BD73" s="94"/>
      <c r="BE73" s="94"/>
      <c r="BF73" s="94"/>
      <c r="BG73" s="94"/>
      <c r="BH73" s="65"/>
      <c r="BI73" s="65"/>
      <c r="BJ73" s="65"/>
      <c r="BK73" s="65"/>
      <c r="BL73" s="65"/>
      <c r="BM73" s="60">
        <f t="shared" si="1"/>
        <v>0</v>
      </c>
      <c r="BN73" s="60" t="s">
        <v>1396</v>
      </c>
      <c r="BO73" s="57"/>
    </row>
    <row r="74">
      <c r="A74" s="60" t="s">
        <v>285</v>
      </c>
      <c r="B74" s="95">
        <v>43081.0</v>
      </c>
      <c r="C74" s="93"/>
      <c r="D74" s="93"/>
      <c r="E74" s="93"/>
      <c r="F74" s="93"/>
      <c r="G74" s="93"/>
      <c r="H74" s="93"/>
      <c r="I74" s="93"/>
      <c r="J74" s="93"/>
      <c r="K74" s="93"/>
      <c r="L74" s="93"/>
      <c r="M74" s="93"/>
      <c r="N74" s="93"/>
      <c r="O74" s="93"/>
      <c r="P74" s="93"/>
      <c r="Q74" s="93"/>
      <c r="R74" s="93"/>
      <c r="S74" s="93"/>
      <c r="T74" s="93"/>
      <c r="U74" s="93"/>
      <c r="V74" s="93"/>
      <c r="W74" s="94"/>
      <c r="X74" s="94"/>
      <c r="Y74" s="94"/>
      <c r="Z74" s="65"/>
      <c r="AA74" s="65" t="s">
        <v>1397</v>
      </c>
      <c r="AB74" s="65"/>
      <c r="AC74" s="65"/>
      <c r="AD74" s="65"/>
      <c r="AE74" s="65"/>
      <c r="AF74" s="65"/>
      <c r="AG74" s="65"/>
      <c r="AH74" s="65" t="s">
        <v>1069</v>
      </c>
      <c r="AI74" s="65"/>
      <c r="AJ74" s="65"/>
      <c r="AK74" s="65"/>
      <c r="AL74" s="65"/>
      <c r="AM74" s="65"/>
      <c r="AN74" s="65"/>
      <c r="AO74" s="65"/>
      <c r="AP74" s="65"/>
      <c r="AQ74" s="65"/>
      <c r="AR74" s="65"/>
      <c r="AS74" s="65"/>
      <c r="AT74" s="65"/>
      <c r="AU74" s="65"/>
      <c r="AV74" s="65"/>
      <c r="AW74" s="65"/>
      <c r="AX74" s="65"/>
      <c r="AY74" s="65"/>
      <c r="AZ74" s="65" t="s">
        <v>1398</v>
      </c>
      <c r="BA74" s="65"/>
      <c r="BB74" s="65"/>
      <c r="BC74" s="65"/>
      <c r="BD74" s="65" t="s">
        <v>1076</v>
      </c>
      <c r="BE74" s="65" t="s">
        <v>1399</v>
      </c>
      <c r="BF74" s="65"/>
      <c r="BG74" s="65" t="s">
        <v>1216</v>
      </c>
      <c r="BH74" s="65"/>
      <c r="BI74" s="65"/>
      <c r="BJ74" s="65"/>
      <c r="BK74" s="65" t="s">
        <v>1400</v>
      </c>
      <c r="BL74" s="65"/>
      <c r="BM74" s="60">
        <f t="shared" si="1"/>
        <v>7</v>
      </c>
      <c r="BN74" s="60" t="s">
        <v>1401</v>
      </c>
      <c r="BO74" s="57"/>
    </row>
    <row r="75">
      <c r="A75" s="60" t="s">
        <v>287</v>
      </c>
      <c r="B75" s="95">
        <v>44137.0</v>
      </c>
      <c r="C75" s="93"/>
      <c r="D75" s="93"/>
      <c r="E75" s="93"/>
      <c r="F75" s="93"/>
      <c r="G75" s="93"/>
      <c r="H75" s="93"/>
      <c r="I75" s="93"/>
      <c r="J75" s="93"/>
      <c r="K75" s="93"/>
      <c r="L75" s="93"/>
      <c r="M75" s="93"/>
      <c r="N75" s="93"/>
      <c r="O75" s="93"/>
      <c r="P75" s="93"/>
      <c r="Q75" s="93"/>
      <c r="R75" s="93"/>
      <c r="S75" s="93"/>
      <c r="T75" s="93"/>
      <c r="U75" s="93"/>
      <c r="V75" s="93"/>
      <c r="W75" s="94"/>
      <c r="X75" s="94"/>
      <c r="Y75" s="94"/>
      <c r="Z75" s="94"/>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94"/>
      <c r="BC75" s="94"/>
      <c r="BD75" s="94"/>
      <c r="BE75" s="94"/>
      <c r="BF75" s="94"/>
      <c r="BG75" s="94"/>
      <c r="BH75" s="65"/>
      <c r="BI75" s="65" t="s">
        <v>1402</v>
      </c>
      <c r="BJ75" s="65"/>
      <c r="BK75" s="65"/>
      <c r="BL75" s="65"/>
      <c r="BM75" s="60">
        <f t="shared" si="1"/>
        <v>1</v>
      </c>
      <c r="BN75" s="60" t="s">
        <v>1403</v>
      </c>
      <c r="BO75" s="57"/>
    </row>
    <row r="76">
      <c r="A76" s="60" t="s">
        <v>288</v>
      </c>
      <c r="B76" s="92" t="s">
        <v>1404</v>
      </c>
      <c r="C76" s="93"/>
      <c r="D76" s="94"/>
      <c r="E76" s="93"/>
      <c r="F76" s="93"/>
      <c r="G76" s="93"/>
      <c r="H76" s="94"/>
      <c r="I76" s="94"/>
      <c r="J76" s="93"/>
      <c r="K76" s="93"/>
      <c r="L76" s="93"/>
      <c r="M76" s="93"/>
      <c r="N76" s="94"/>
      <c r="O76" s="93"/>
      <c r="P76" s="93"/>
      <c r="Q76" s="93"/>
      <c r="R76" s="94"/>
      <c r="S76" s="93"/>
      <c r="T76" s="93"/>
      <c r="U76" s="93"/>
      <c r="V76" s="93"/>
      <c r="W76" s="93"/>
      <c r="X76" s="93"/>
      <c r="Y76" s="93"/>
      <c r="Z76" s="93"/>
      <c r="AA76" s="93"/>
      <c r="AB76" s="93"/>
      <c r="AC76" s="93"/>
      <c r="AD76" s="93"/>
      <c r="AE76" s="94"/>
      <c r="AF76" s="94"/>
      <c r="AG76" s="94"/>
      <c r="AH76" s="94"/>
      <c r="AI76" s="94"/>
      <c r="AJ76" s="65"/>
      <c r="AK76" s="65" t="s">
        <v>1405</v>
      </c>
      <c r="AL76" s="65"/>
      <c r="AM76" s="65"/>
      <c r="AN76" s="65"/>
      <c r="AO76" s="65"/>
      <c r="AP76" s="65"/>
      <c r="AQ76" s="65"/>
      <c r="AR76" s="65"/>
      <c r="AS76" s="65"/>
      <c r="AT76" s="65"/>
      <c r="AU76" s="65"/>
      <c r="AV76" s="65"/>
      <c r="AW76" s="65"/>
      <c r="AX76" s="65"/>
      <c r="AY76" s="65"/>
      <c r="AZ76" s="65"/>
      <c r="BA76" s="65"/>
      <c r="BB76" s="65"/>
      <c r="BC76" s="65"/>
      <c r="BD76" s="65"/>
      <c r="BE76" s="65"/>
      <c r="BF76" s="65"/>
      <c r="BG76" s="65"/>
      <c r="BH76" s="65"/>
      <c r="BI76" s="65"/>
      <c r="BJ76" s="65"/>
      <c r="BK76" s="65"/>
      <c r="BL76" s="65"/>
      <c r="BM76" s="60">
        <f t="shared" si="1"/>
        <v>1</v>
      </c>
      <c r="BN76" s="60" t="s">
        <v>1405</v>
      </c>
      <c r="BO76" s="57"/>
    </row>
    <row r="77">
      <c r="A77" s="60" t="s">
        <v>289</v>
      </c>
      <c r="B77" s="92" t="s">
        <v>1406</v>
      </c>
      <c r="C77" s="93"/>
      <c r="D77" s="93"/>
      <c r="E77" s="93"/>
      <c r="F77" s="93"/>
      <c r="G77" s="93"/>
      <c r="H77" s="93"/>
      <c r="I77" s="93"/>
      <c r="J77" s="93"/>
      <c r="K77" s="93"/>
      <c r="L77" s="93"/>
      <c r="M77" s="93"/>
      <c r="N77" s="93"/>
      <c r="O77" s="93"/>
      <c r="P77" s="57"/>
      <c r="Q77" s="57"/>
      <c r="R77" s="57"/>
      <c r="S77" s="65" t="s">
        <v>1407</v>
      </c>
      <c r="T77" s="57"/>
      <c r="U77" s="65" t="s">
        <v>1069</v>
      </c>
      <c r="V77" s="65" t="s">
        <v>1084</v>
      </c>
      <c r="W77" s="65"/>
      <c r="X77" s="65" t="s">
        <v>1104</v>
      </c>
      <c r="Y77" s="65" t="s">
        <v>1408</v>
      </c>
      <c r="Z77" s="65"/>
      <c r="AA77" s="65"/>
      <c r="AB77" s="65"/>
      <c r="AC77" s="65"/>
      <c r="AD77" s="65"/>
      <c r="AE77" s="65"/>
      <c r="AF77" s="65"/>
      <c r="AG77" s="65"/>
      <c r="AH77" s="65"/>
      <c r="AI77" s="65"/>
      <c r="AJ77" s="65"/>
      <c r="AK77" s="65"/>
      <c r="AL77" s="65"/>
      <c r="AM77" s="65"/>
      <c r="AN77" s="65"/>
      <c r="AO77" s="65"/>
      <c r="AP77" s="65"/>
      <c r="AQ77" s="65"/>
      <c r="AR77" s="65"/>
      <c r="AS77" s="65"/>
      <c r="AT77" s="65"/>
      <c r="AU77" s="65"/>
      <c r="AV77" s="65"/>
      <c r="AW77" s="65"/>
      <c r="AX77" s="65"/>
      <c r="AY77" s="65"/>
      <c r="AZ77" s="65"/>
      <c r="BA77" s="65"/>
      <c r="BB77" s="65"/>
      <c r="BC77" s="65"/>
      <c r="BD77" s="65"/>
      <c r="BE77" s="65"/>
      <c r="BF77" s="65"/>
      <c r="BG77" s="65"/>
      <c r="BH77" s="65"/>
      <c r="BI77" s="65" t="s">
        <v>1409</v>
      </c>
      <c r="BJ77" s="65" t="s">
        <v>1410</v>
      </c>
      <c r="BK77" s="65"/>
      <c r="BL77" s="65"/>
      <c r="BM77" s="60">
        <f t="shared" si="1"/>
        <v>7</v>
      </c>
      <c r="BN77" s="60" t="s">
        <v>1411</v>
      </c>
      <c r="BO77" s="57"/>
    </row>
    <row r="78">
      <c r="A78" s="60" t="s">
        <v>300</v>
      </c>
      <c r="B78" s="92" t="s">
        <v>1183</v>
      </c>
      <c r="C78" s="93"/>
      <c r="D78" s="93"/>
      <c r="E78" s="93"/>
      <c r="F78" s="93"/>
      <c r="G78" s="93"/>
      <c r="H78" s="93"/>
      <c r="I78" s="57"/>
      <c r="J78" s="57"/>
      <c r="K78" s="57"/>
      <c r="L78" s="57"/>
      <c r="M78" s="57"/>
      <c r="N78" s="57"/>
      <c r="O78" s="57"/>
      <c r="P78" s="57"/>
      <c r="Q78" s="57"/>
      <c r="R78" s="57"/>
      <c r="S78" s="57"/>
      <c r="T78" s="57"/>
      <c r="U78" s="57"/>
      <c r="V78" s="57"/>
      <c r="W78" s="57"/>
      <c r="X78" s="57"/>
      <c r="Y78" s="65" t="s">
        <v>1412</v>
      </c>
      <c r="Z78" s="65"/>
      <c r="AA78" s="65"/>
      <c r="AB78" s="65"/>
      <c r="AC78" s="65"/>
      <c r="AD78" s="65"/>
      <c r="AE78" s="65"/>
      <c r="AF78" s="65"/>
      <c r="AG78" s="65"/>
      <c r="AH78" s="65"/>
      <c r="AI78" s="65"/>
      <c r="AJ78" s="65"/>
      <c r="AK78" s="65"/>
      <c r="AL78" s="65" t="s">
        <v>1122</v>
      </c>
      <c r="AM78" s="65"/>
      <c r="AN78" s="65"/>
      <c r="AO78" s="65"/>
      <c r="AP78" s="65"/>
      <c r="AQ78" s="65"/>
      <c r="AR78" s="65"/>
      <c r="AS78" s="65"/>
      <c r="AT78" s="65"/>
      <c r="AU78" s="65"/>
      <c r="AV78" s="65"/>
      <c r="AW78" s="65"/>
      <c r="AX78" s="65"/>
      <c r="AY78" s="65"/>
      <c r="AZ78" s="65"/>
      <c r="BA78" s="65"/>
      <c r="BB78" s="65"/>
      <c r="BC78" s="65"/>
      <c r="BD78" s="65"/>
      <c r="BE78" s="65"/>
      <c r="BF78" s="65"/>
      <c r="BG78" s="65"/>
      <c r="BH78" s="65"/>
      <c r="BI78" s="65" t="s">
        <v>1413</v>
      </c>
      <c r="BJ78" s="65"/>
      <c r="BK78" s="65"/>
      <c r="BL78" s="65"/>
      <c r="BM78" s="60">
        <f t="shared" si="1"/>
        <v>3</v>
      </c>
      <c r="BN78" s="60" t="s">
        <v>1414</v>
      </c>
      <c r="BO78" s="57"/>
    </row>
    <row r="79">
      <c r="A79" s="60" t="s">
        <v>303</v>
      </c>
      <c r="B79" s="92" t="s">
        <v>1415</v>
      </c>
      <c r="C79" s="94"/>
      <c r="D79" s="94"/>
      <c r="E79" s="94"/>
      <c r="F79" s="93"/>
      <c r="G79" s="93"/>
      <c r="H79" s="93"/>
      <c r="I79" s="94"/>
      <c r="J79" s="93"/>
      <c r="K79" s="94"/>
      <c r="L79" s="93"/>
      <c r="M79" s="93"/>
      <c r="N79" s="93"/>
      <c r="O79" s="93"/>
      <c r="P79" s="93"/>
      <c r="Q79" s="93"/>
      <c r="R79" s="94"/>
      <c r="S79" s="93"/>
      <c r="T79" s="93"/>
      <c r="U79" s="93"/>
      <c r="V79" s="93"/>
      <c r="W79" s="57"/>
      <c r="X79" s="57"/>
      <c r="Y79" s="57"/>
      <c r="Z79" s="65" t="s">
        <v>1416</v>
      </c>
      <c r="AA79" s="65"/>
      <c r="AB79" s="65" t="s">
        <v>1417</v>
      </c>
      <c r="AC79" s="65" t="s">
        <v>1418</v>
      </c>
      <c r="AD79" s="65"/>
      <c r="AE79" s="65"/>
      <c r="AF79" s="65"/>
      <c r="AG79" s="65"/>
      <c r="AH79" s="65"/>
      <c r="AI79" s="65"/>
      <c r="AJ79" s="65" t="s">
        <v>1419</v>
      </c>
      <c r="AK79" s="65"/>
      <c r="AL79" s="65"/>
      <c r="AM79" s="65"/>
      <c r="AN79" s="65"/>
      <c r="AO79" s="65"/>
      <c r="AP79" s="65"/>
      <c r="AQ79" s="65"/>
      <c r="AR79" s="65"/>
      <c r="AS79" s="65"/>
      <c r="AT79" s="65"/>
      <c r="AU79" s="65"/>
      <c r="AV79" s="65"/>
      <c r="AW79" s="65"/>
      <c r="AX79" s="65"/>
      <c r="AY79" s="65"/>
      <c r="AZ79" s="65"/>
      <c r="BA79" s="65"/>
      <c r="BB79" s="65" t="s">
        <v>1420</v>
      </c>
      <c r="BC79" s="65"/>
      <c r="BD79" s="65"/>
      <c r="BE79" s="65"/>
      <c r="BF79" s="65"/>
      <c r="BG79" s="65"/>
      <c r="BH79" s="65"/>
      <c r="BI79" s="65"/>
      <c r="BJ79" s="65" t="s">
        <v>1421</v>
      </c>
      <c r="BK79" s="65"/>
      <c r="BL79" s="65"/>
      <c r="BM79" s="60">
        <f t="shared" si="1"/>
        <v>6</v>
      </c>
      <c r="BN79" s="60" t="s">
        <v>1422</v>
      </c>
      <c r="BO79" s="57"/>
    </row>
    <row r="80">
      <c r="A80" s="60" t="s">
        <v>305</v>
      </c>
      <c r="B80" s="95">
        <v>43570.0</v>
      </c>
      <c r="C80" s="93"/>
      <c r="D80" s="93"/>
      <c r="E80" s="93"/>
      <c r="F80" s="93"/>
      <c r="G80" s="93"/>
      <c r="H80" s="93"/>
      <c r="I80" s="93"/>
      <c r="J80" s="93"/>
      <c r="K80" s="93"/>
      <c r="L80" s="93"/>
      <c r="M80" s="93"/>
      <c r="N80" s="93"/>
      <c r="O80" s="93"/>
      <c r="P80" s="93"/>
      <c r="Q80" s="93"/>
      <c r="R80" s="93"/>
      <c r="S80" s="93"/>
      <c r="T80" s="93"/>
      <c r="U80" s="93"/>
      <c r="V80" s="93"/>
      <c r="W80" s="93"/>
      <c r="X80" s="93"/>
      <c r="Y80" s="93"/>
      <c r="Z80" s="93"/>
      <c r="AA80" s="93"/>
      <c r="AB80" s="93"/>
      <c r="AC80" s="94"/>
      <c r="AD80" s="94"/>
      <c r="AE80" s="94"/>
      <c r="AF80" s="94"/>
      <c r="AG80" s="94"/>
      <c r="AH80" s="94"/>
      <c r="AI80" s="94"/>
      <c r="AJ80" s="94"/>
      <c r="AK80" s="94"/>
      <c r="AL80" s="94"/>
      <c r="AM80" s="94"/>
      <c r="AN80" s="94"/>
      <c r="AO80" s="65"/>
      <c r="AP80" s="65"/>
      <c r="AQ80" s="65"/>
      <c r="AR80" s="65"/>
      <c r="AS80" s="65"/>
      <c r="AT80" s="65"/>
      <c r="AU80" s="65"/>
      <c r="AV80" s="65"/>
      <c r="AW80" s="65"/>
      <c r="AX80" s="65"/>
      <c r="AY80" s="65"/>
      <c r="AZ80" s="65"/>
      <c r="BA80" s="65" t="s">
        <v>1069</v>
      </c>
      <c r="BB80" s="65"/>
      <c r="BC80" s="65" t="s">
        <v>1423</v>
      </c>
      <c r="BD80" s="65" t="s">
        <v>1424</v>
      </c>
      <c r="BE80" s="65"/>
      <c r="BF80" s="65"/>
      <c r="BG80" s="65"/>
      <c r="BH80" s="65"/>
      <c r="BI80" s="65"/>
      <c r="BJ80" s="65"/>
      <c r="BK80" s="65" t="s">
        <v>1425</v>
      </c>
      <c r="BL80" s="65"/>
      <c r="BM80" s="60">
        <f t="shared" si="1"/>
        <v>4</v>
      </c>
      <c r="BN80" s="60" t="s">
        <v>1426</v>
      </c>
      <c r="BO80" s="57"/>
    </row>
    <row r="81">
      <c r="A81" s="60" t="s">
        <v>306</v>
      </c>
      <c r="B81" s="92" t="s">
        <v>1064</v>
      </c>
      <c r="C81" s="57"/>
      <c r="D81" s="65" t="s">
        <v>1096</v>
      </c>
      <c r="E81" s="65" t="s">
        <v>1096</v>
      </c>
      <c r="F81" s="57"/>
      <c r="G81" s="57"/>
      <c r="H81" s="57"/>
      <c r="I81" s="65" t="s">
        <v>1427</v>
      </c>
      <c r="J81" s="57"/>
      <c r="K81" s="57"/>
      <c r="L81" s="65" t="s">
        <v>1190</v>
      </c>
      <c r="M81" s="57"/>
      <c r="N81" s="57"/>
      <c r="O81" s="57"/>
      <c r="P81" s="57"/>
      <c r="Q81" s="57"/>
      <c r="R81" s="57"/>
      <c r="S81" s="57"/>
      <c r="T81" s="57"/>
      <c r="U81" s="65" t="s">
        <v>1428</v>
      </c>
      <c r="V81" s="65"/>
      <c r="W81" s="65"/>
      <c r="X81" s="65"/>
      <c r="Y81" s="65"/>
      <c r="Z81" s="65"/>
      <c r="AA81" s="65"/>
      <c r="AB81" s="65"/>
      <c r="AC81" s="65"/>
      <c r="AD81" s="65"/>
      <c r="AE81" s="65"/>
      <c r="AF81" s="65"/>
      <c r="AG81" s="65" t="s">
        <v>1429</v>
      </c>
      <c r="AH81" s="65"/>
      <c r="AI81" s="65" t="s">
        <v>1087</v>
      </c>
      <c r="AJ81" s="65"/>
      <c r="AK81" s="65"/>
      <c r="AL81" s="65"/>
      <c r="AM81" s="65"/>
      <c r="AN81" s="65" t="s">
        <v>1416</v>
      </c>
      <c r="AO81" s="65"/>
      <c r="AP81" s="65"/>
      <c r="AQ81" s="65"/>
      <c r="AR81" s="65"/>
      <c r="AS81" s="65"/>
      <c r="AT81" s="65"/>
      <c r="AU81" s="65"/>
      <c r="AV81" s="65"/>
      <c r="AW81" s="65"/>
      <c r="AX81" s="65"/>
      <c r="AY81" s="65"/>
      <c r="AZ81" s="65"/>
      <c r="BA81" s="65"/>
      <c r="BB81" s="65"/>
      <c r="BC81" s="65"/>
      <c r="BD81" s="65" t="s">
        <v>1149</v>
      </c>
      <c r="BE81" s="65"/>
      <c r="BF81" s="65"/>
      <c r="BG81" s="65"/>
      <c r="BH81" s="65"/>
      <c r="BI81" s="65"/>
      <c r="BJ81" s="65"/>
      <c r="BK81" s="65" t="s">
        <v>1430</v>
      </c>
      <c r="BL81" s="65"/>
      <c r="BM81" s="60">
        <f t="shared" si="1"/>
        <v>10</v>
      </c>
      <c r="BN81" s="60" t="s">
        <v>1431</v>
      </c>
      <c r="BO81" s="57"/>
    </row>
    <row r="82">
      <c r="A82" s="60" t="s">
        <v>308</v>
      </c>
      <c r="B82" s="92" t="s">
        <v>1064</v>
      </c>
      <c r="C82" s="57"/>
      <c r="D82" s="65" t="s">
        <v>1432</v>
      </c>
      <c r="E82" s="57"/>
      <c r="F82" s="57"/>
      <c r="G82" s="57"/>
      <c r="H82" s="65" t="s">
        <v>1433</v>
      </c>
      <c r="I82" s="65" t="s">
        <v>1434</v>
      </c>
      <c r="J82" s="57"/>
      <c r="K82" s="57"/>
      <c r="L82" s="57"/>
      <c r="M82" s="57"/>
      <c r="N82" s="65" t="s">
        <v>1435</v>
      </c>
      <c r="O82" s="57"/>
      <c r="P82" s="57"/>
      <c r="Q82" s="57"/>
      <c r="R82" s="65" t="s">
        <v>1069</v>
      </c>
      <c r="S82" s="57"/>
      <c r="T82" s="57"/>
      <c r="U82" s="57"/>
      <c r="V82" s="57"/>
      <c r="W82" s="57"/>
      <c r="X82" s="57"/>
      <c r="Y82" s="57"/>
      <c r="Z82" s="57"/>
      <c r="AA82" s="57"/>
      <c r="AB82" s="57"/>
      <c r="AC82" s="57"/>
      <c r="AD82" s="57"/>
      <c r="AE82" s="65" t="s">
        <v>1069</v>
      </c>
      <c r="AF82" s="65"/>
      <c r="AG82" s="65"/>
      <c r="AH82" s="65"/>
      <c r="AI82" s="65"/>
      <c r="AJ82" s="65"/>
      <c r="AK82" s="65"/>
      <c r="AL82" s="65"/>
      <c r="AM82" s="65"/>
      <c r="AN82" s="65"/>
      <c r="AO82" s="65"/>
      <c r="AP82" s="65"/>
      <c r="AQ82" s="65"/>
      <c r="AR82" s="65"/>
      <c r="AS82" s="65"/>
      <c r="AT82" s="65"/>
      <c r="AU82" s="65"/>
      <c r="AV82" s="65"/>
      <c r="AW82" s="65"/>
      <c r="AX82" s="65"/>
      <c r="AY82" s="65"/>
      <c r="AZ82" s="65"/>
      <c r="BA82" s="65"/>
      <c r="BB82" s="65"/>
      <c r="BC82" s="65"/>
      <c r="BD82" s="65"/>
      <c r="BE82" s="65"/>
      <c r="BF82" s="65"/>
      <c r="BG82" s="65"/>
      <c r="BH82" s="65"/>
      <c r="BI82" s="65"/>
      <c r="BJ82" s="65"/>
      <c r="BK82" s="65"/>
      <c r="BL82" s="65"/>
      <c r="BM82" s="60">
        <f t="shared" si="1"/>
        <v>6</v>
      </c>
      <c r="BN82" s="60" t="s">
        <v>1436</v>
      </c>
      <c r="BO82" s="57"/>
    </row>
    <row r="83">
      <c r="A83" s="60" t="s">
        <v>310</v>
      </c>
      <c r="B83" s="92" t="s">
        <v>1183</v>
      </c>
      <c r="C83" s="93"/>
      <c r="D83" s="93"/>
      <c r="E83" s="93"/>
      <c r="F83" s="93"/>
      <c r="G83" s="93"/>
      <c r="H83" s="93"/>
      <c r="I83" s="57"/>
      <c r="J83" s="65" t="s">
        <v>1437</v>
      </c>
      <c r="K83" s="65" t="s">
        <v>1069</v>
      </c>
      <c r="L83" s="57"/>
      <c r="M83" s="57"/>
      <c r="N83" s="57"/>
      <c r="O83" s="57"/>
      <c r="P83" s="57"/>
      <c r="Q83" s="57"/>
      <c r="R83" s="57"/>
      <c r="S83" s="57"/>
      <c r="T83" s="57"/>
      <c r="U83" s="57"/>
      <c r="V83" s="57"/>
      <c r="W83" s="57"/>
      <c r="X83" s="57"/>
      <c r="Y83" s="57"/>
      <c r="Z83" s="65" t="s">
        <v>1438</v>
      </c>
      <c r="AA83" s="65"/>
      <c r="AB83" s="65"/>
      <c r="AC83" s="65"/>
      <c r="AD83" s="65"/>
      <c r="AE83" s="65"/>
      <c r="AF83" s="65"/>
      <c r="AG83" s="65"/>
      <c r="AH83" s="65"/>
      <c r="AI83" s="65"/>
      <c r="AJ83" s="65"/>
      <c r="AK83" s="65"/>
      <c r="AL83" s="65"/>
      <c r="AM83" s="65"/>
      <c r="AN83" s="65"/>
      <c r="AO83" s="65"/>
      <c r="AP83" s="65"/>
      <c r="AQ83" s="65"/>
      <c r="AR83" s="65"/>
      <c r="AS83" s="65"/>
      <c r="AT83" s="65"/>
      <c r="AU83" s="65"/>
      <c r="AV83" s="65"/>
      <c r="AW83" s="65"/>
      <c r="AX83" s="65"/>
      <c r="AY83" s="65"/>
      <c r="AZ83" s="65"/>
      <c r="BA83" s="65"/>
      <c r="BB83" s="65"/>
      <c r="BC83" s="65"/>
      <c r="BD83" s="65" t="s">
        <v>1081</v>
      </c>
      <c r="BE83" s="65"/>
      <c r="BF83" s="65"/>
      <c r="BG83" s="65"/>
      <c r="BH83" s="65"/>
      <c r="BI83" s="65"/>
      <c r="BJ83" s="65" t="s">
        <v>1439</v>
      </c>
      <c r="BK83" s="65"/>
      <c r="BL83" s="65"/>
      <c r="BM83" s="60">
        <f t="shared" si="1"/>
        <v>5</v>
      </c>
      <c r="BN83" s="60" t="s">
        <v>1440</v>
      </c>
      <c r="BO83" s="57"/>
    </row>
    <row r="84">
      <c r="A84" s="60" t="s">
        <v>311</v>
      </c>
      <c r="B84" s="92" t="s">
        <v>1441</v>
      </c>
      <c r="C84" s="93"/>
      <c r="D84" s="93"/>
      <c r="E84" s="93"/>
      <c r="F84" s="93"/>
      <c r="G84" s="93"/>
      <c r="H84" s="93"/>
      <c r="I84" s="93"/>
      <c r="J84" s="93"/>
      <c r="K84" s="93"/>
      <c r="L84" s="93"/>
      <c r="M84" s="93"/>
      <c r="N84" s="57"/>
      <c r="O84" s="57"/>
      <c r="P84" s="57"/>
      <c r="Q84" s="57"/>
      <c r="R84" s="57"/>
      <c r="S84" s="57"/>
      <c r="T84" s="57"/>
      <c r="U84" s="57"/>
      <c r="V84" s="57"/>
      <c r="W84" s="57"/>
      <c r="X84" s="65" t="s">
        <v>1320</v>
      </c>
      <c r="Y84" s="65" t="s">
        <v>1442</v>
      </c>
      <c r="Z84" s="65"/>
      <c r="AA84" s="65"/>
      <c r="AB84" s="65"/>
      <c r="AC84" s="65" t="s">
        <v>1069</v>
      </c>
      <c r="AD84" s="65"/>
      <c r="AE84" s="65"/>
      <c r="AF84" s="65"/>
      <c r="AG84" s="65"/>
      <c r="AH84" s="65"/>
      <c r="AI84" s="65"/>
      <c r="AJ84" s="65"/>
      <c r="AK84" s="65"/>
      <c r="AL84" s="65"/>
      <c r="AM84" s="65"/>
      <c r="AN84" s="65"/>
      <c r="AO84" s="65"/>
      <c r="AP84" s="65"/>
      <c r="AQ84" s="65"/>
      <c r="AR84" s="65"/>
      <c r="AS84" s="65"/>
      <c r="AT84" s="65"/>
      <c r="AU84" s="65"/>
      <c r="AV84" s="65"/>
      <c r="AW84" s="65"/>
      <c r="AX84" s="65"/>
      <c r="AY84" s="65"/>
      <c r="AZ84" s="65"/>
      <c r="BA84" s="65"/>
      <c r="BB84" s="65"/>
      <c r="BC84" s="65"/>
      <c r="BD84" s="65"/>
      <c r="BE84" s="65"/>
      <c r="BF84" s="65"/>
      <c r="BG84" s="65"/>
      <c r="BH84" s="65"/>
      <c r="BI84" s="65" t="s">
        <v>1443</v>
      </c>
      <c r="BJ84" s="65" t="s">
        <v>1444</v>
      </c>
      <c r="BK84" s="65"/>
      <c r="BL84" s="65"/>
      <c r="BM84" s="60">
        <f t="shared" si="1"/>
        <v>5</v>
      </c>
      <c r="BN84" s="60" t="s">
        <v>1445</v>
      </c>
      <c r="BO84" s="57"/>
    </row>
    <row r="85">
      <c r="A85" s="60" t="s">
        <v>313</v>
      </c>
      <c r="B85" s="95">
        <v>43105.0</v>
      </c>
      <c r="C85" s="93"/>
      <c r="D85" s="93"/>
      <c r="E85" s="93"/>
      <c r="F85" s="93"/>
      <c r="G85" s="93"/>
      <c r="H85" s="93"/>
      <c r="I85" s="93"/>
      <c r="J85" s="93"/>
      <c r="K85" s="93"/>
      <c r="L85" s="93"/>
      <c r="M85" s="93"/>
      <c r="N85" s="93"/>
      <c r="O85" s="93"/>
      <c r="P85" s="93"/>
      <c r="Q85" s="93"/>
      <c r="R85" s="93"/>
      <c r="S85" s="93"/>
      <c r="T85" s="93"/>
      <c r="U85" s="93"/>
      <c r="V85" s="93"/>
      <c r="W85" s="94"/>
      <c r="X85" s="94"/>
      <c r="Y85" s="94"/>
      <c r="Z85" s="65"/>
      <c r="AA85" s="65" t="s">
        <v>1446</v>
      </c>
      <c r="AB85" s="65"/>
      <c r="AC85" s="65"/>
      <c r="AD85" s="65" t="s">
        <v>1447</v>
      </c>
      <c r="AE85" s="65"/>
      <c r="AF85" s="65"/>
      <c r="AG85" s="65"/>
      <c r="AH85" s="65"/>
      <c r="AI85" s="65"/>
      <c r="AJ85" s="65" t="s">
        <v>1448</v>
      </c>
      <c r="AK85" s="65"/>
      <c r="AL85" s="65"/>
      <c r="AM85" s="65"/>
      <c r="AN85" s="65"/>
      <c r="AO85" s="65"/>
      <c r="AP85" s="65"/>
      <c r="AQ85" s="65"/>
      <c r="AR85" s="65"/>
      <c r="AS85" s="65"/>
      <c r="AT85" s="65" t="s">
        <v>1184</v>
      </c>
      <c r="AU85" s="65"/>
      <c r="AV85" s="65"/>
      <c r="AW85" s="65"/>
      <c r="AX85" s="65"/>
      <c r="AY85" s="65"/>
      <c r="AZ85" s="65"/>
      <c r="BA85" s="65"/>
      <c r="BB85" s="65"/>
      <c r="BC85" s="65"/>
      <c r="BD85" s="65"/>
      <c r="BE85" s="65"/>
      <c r="BF85" s="65"/>
      <c r="BG85" s="65"/>
      <c r="BH85" s="65" t="s">
        <v>1069</v>
      </c>
      <c r="BI85" s="65"/>
      <c r="BJ85" s="65"/>
      <c r="BK85" s="65"/>
      <c r="BL85" s="65"/>
      <c r="BM85" s="60">
        <f t="shared" si="1"/>
        <v>5</v>
      </c>
      <c r="BN85" s="60" t="s">
        <v>1449</v>
      </c>
      <c r="BO85" s="57"/>
    </row>
    <row r="86">
      <c r="A86" s="60" t="s">
        <v>316</v>
      </c>
      <c r="B86" s="95">
        <v>43245.0</v>
      </c>
      <c r="C86" s="93"/>
      <c r="D86" s="93"/>
      <c r="E86" s="93"/>
      <c r="F86" s="93"/>
      <c r="G86" s="93"/>
      <c r="H86" s="93"/>
      <c r="I86" s="93"/>
      <c r="J86" s="93"/>
      <c r="K86" s="93"/>
      <c r="L86" s="93"/>
      <c r="M86" s="93"/>
      <c r="N86" s="93"/>
      <c r="O86" s="93"/>
      <c r="P86" s="93"/>
      <c r="Q86" s="93"/>
      <c r="R86" s="93"/>
      <c r="S86" s="93"/>
      <c r="T86" s="93"/>
      <c r="U86" s="93"/>
      <c r="V86" s="93"/>
      <c r="W86" s="94"/>
      <c r="X86" s="94"/>
      <c r="Y86" s="94"/>
      <c r="Z86" s="94"/>
      <c r="AA86" s="94"/>
      <c r="AB86" s="94"/>
      <c r="AC86" s="65"/>
      <c r="AD86" s="65"/>
      <c r="AE86" s="65"/>
      <c r="AF86" s="65" t="s">
        <v>1450</v>
      </c>
      <c r="AG86" s="65"/>
      <c r="AH86" s="65"/>
      <c r="AI86" s="65"/>
      <c r="AJ86" s="65"/>
      <c r="AK86" s="65"/>
      <c r="AL86" s="65"/>
      <c r="AM86" s="65"/>
      <c r="AN86" s="65" t="s">
        <v>1074</v>
      </c>
      <c r="AO86" s="65"/>
      <c r="AP86" s="65"/>
      <c r="AQ86" s="65" t="s">
        <v>1451</v>
      </c>
      <c r="AR86" s="65" t="s">
        <v>1452</v>
      </c>
      <c r="AS86" s="65"/>
      <c r="AT86" s="65"/>
      <c r="AU86" s="65"/>
      <c r="AV86" s="65"/>
      <c r="AW86" s="65"/>
      <c r="AX86" s="65"/>
      <c r="AY86" s="65"/>
      <c r="AZ86" s="65"/>
      <c r="BA86" s="65"/>
      <c r="BB86" s="65"/>
      <c r="BC86" s="65"/>
      <c r="BD86" s="65" t="s">
        <v>1076</v>
      </c>
      <c r="BE86" s="65"/>
      <c r="BF86" s="65"/>
      <c r="BG86" s="65"/>
      <c r="BH86" s="65"/>
      <c r="BI86" s="65"/>
      <c r="BJ86" s="65"/>
      <c r="BK86" s="65"/>
      <c r="BL86" s="65" t="s">
        <v>1453</v>
      </c>
      <c r="BM86" s="60">
        <f t="shared" si="1"/>
        <v>6</v>
      </c>
      <c r="BN86" s="60" t="s">
        <v>1454</v>
      </c>
      <c r="BO86" s="57"/>
    </row>
    <row r="87">
      <c r="A87" s="60" t="s">
        <v>319</v>
      </c>
      <c r="B87" s="97">
        <v>42856.0</v>
      </c>
      <c r="C87" s="93"/>
      <c r="D87" s="93"/>
      <c r="E87" s="93"/>
      <c r="F87" s="93"/>
      <c r="G87" s="93"/>
      <c r="H87" s="93"/>
      <c r="I87" s="93"/>
      <c r="J87" s="93"/>
      <c r="K87" s="93"/>
      <c r="L87" s="93"/>
      <c r="M87" s="93"/>
      <c r="N87" s="93"/>
      <c r="O87" s="93"/>
      <c r="P87" s="93"/>
      <c r="Q87" s="93"/>
      <c r="R87" s="93"/>
      <c r="S87" s="93"/>
      <c r="T87" s="93"/>
      <c r="U87" s="57"/>
      <c r="V87" s="57"/>
      <c r="W87" s="65" t="s">
        <v>1069</v>
      </c>
      <c r="X87" s="65" t="s">
        <v>1455</v>
      </c>
      <c r="Y87" s="65"/>
      <c r="Z87" s="65"/>
      <c r="AA87" s="65"/>
      <c r="AB87" s="65"/>
      <c r="AC87" s="65" t="s">
        <v>1069</v>
      </c>
      <c r="AD87" s="65"/>
      <c r="AE87" s="65" t="s">
        <v>1456</v>
      </c>
      <c r="AF87" s="65"/>
      <c r="AG87" s="65"/>
      <c r="AH87" s="65"/>
      <c r="AI87" s="65"/>
      <c r="AJ87" s="65"/>
      <c r="AK87" s="65"/>
      <c r="AL87" s="65" t="s">
        <v>1457</v>
      </c>
      <c r="AM87" s="65"/>
      <c r="AN87" s="65"/>
      <c r="AO87" s="65"/>
      <c r="AP87" s="65"/>
      <c r="AQ87" s="65"/>
      <c r="AR87" s="65"/>
      <c r="AS87" s="65"/>
      <c r="AT87" s="65"/>
      <c r="AU87" s="65"/>
      <c r="AV87" s="65"/>
      <c r="AW87" s="65"/>
      <c r="AX87" s="65"/>
      <c r="AY87" s="65"/>
      <c r="AZ87" s="65"/>
      <c r="BA87" s="65"/>
      <c r="BB87" s="65" t="s">
        <v>1458</v>
      </c>
      <c r="BC87" s="65"/>
      <c r="BD87" s="65"/>
      <c r="BE87" s="65"/>
      <c r="BF87" s="65"/>
      <c r="BG87" s="65" t="s">
        <v>1459</v>
      </c>
      <c r="BH87" s="65" t="s">
        <v>1460</v>
      </c>
      <c r="BI87" s="65"/>
      <c r="BJ87" s="65" t="s">
        <v>1461</v>
      </c>
      <c r="BK87" s="65" t="s">
        <v>1462</v>
      </c>
      <c r="BL87" s="65"/>
      <c r="BM87" s="60">
        <f t="shared" si="1"/>
        <v>10</v>
      </c>
      <c r="BN87" s="60" t="s">
        <v>1463</v>
      </c>
      <c r="BO87" s="57"/>
    </row>
    <row r="88">
      <c r="A88" s="60" t="s">
        <v>320</v>
      </c>
      <c r="B88" s="92" t="s">
        <v>1064</v>
      </c>
      <c r="C88" s="57"/>
      <c r="D88" s="65" t="s">
        <v>1464</v>
      </c>
      <c r="E88" s="57"/>
      <c r="F88" s="57"/>
      <c r="G88" s="57"/>
      <c r="H88" s="57"/>
      <c r="I88" s="65" t="s">
        <v>1465</v>
      </c>
      <c r="J88" s="65" t="s">
        <v>1448</v>
      </c>
      <c r="K88" s="57"/>
      <c r="L88" s="65" t="s">
        <v>1069</v>
      </c>
      <c r="M88" s="57"/>
      <c r="N88" s="57"/>
      <c r="O88" s="65" t="s">
        <v>1466</v>
      </c>
      <c r="P88" s="57"/>
      <c r="Q88" s="65" t="s">
        <v>1467</v>
      </c>
      <c r="R88" s="57"/>
      <c r="S88" s="57"/>
      <c r="T88" s="57"/>
      <c r="U88" s="57"/>
      <c r="V88" s="57"/>
      <c r="W88" s="57"/>
      <c r="X88" s="57"/>
      <c r="Y88" s="57"/>
      <c r="Z88" s="65" t="s">
        <v>1468</v>
      </c>
      <c r="AA88" s="65"/>
      <c r="AB88" s="65"/>
      <c r="AC88" s="65"/>
      <c r="AD88" s="65"/>
      <c r="AE88" s="65"/>
      <c r="AF88" s="65"/>
      <c r="AG88" s="65"/>
      <c r="AH88" s="65"/>
      <c r="AI88" s="65"/>
      <c r="AJ88" s="65"/>
      <c r="AK88" s="65" t="s">
        <v>1069</v>
      </c>
      <c r="AL88" s="65"/>
      <c r="AM88" s="65"/>
      <c r="AN88" s="65"/>
      <c r="AO88" s="65"/>
      <c r="AP88" s="65"/>
      <c r="AQ88" s="65"/>
      <c r="AR88" s="65"/>
      <c r="AS88" s="65"/>
      <c r="AT88" s="65"/>
      <c r="AU88" s="65"/>
      <c r="AV88" s="65"/>
      <c r="AW88" s="65"/>
      <c r="AX88" s="65"/>
      <c r="AY88" s="65"/>
      <c r="AZ88" s="65"/>
      <c r="BA88" s="65"/>
      <c r="BB88" s="65"/>
      <c r="BC88" s="65"/>
      <c r="BD88" s="65"/>
      <c r="BE88" s="65"/>
      <c r="BF88" s="65"/>
      <c r="BG88" s="65"/>
      <c r="BH88" s="65"/>
      <c r="BI88" s="65"/>
      <c r="BJ88" s="65"/>
      <c r="BK88" s="65"/>
      <c r="BL88" s="65"/>
      <c r="BM88" s="60">
        <f t="shared" si="1"/>
        <v>8</v>
      </c>
      <c r="BN88" s="60" t="s">
        <v>1469</v>
      </c>
      <c r="BO88" s="57"/>
    </row>
    <row r="89">
      <c r="A89" s="60" t="s">
        <v>323</v>
      </c>
      <c r="B89" s="92" t="s">
        <v>1470</v>
      </c>
      <c r="C89" s="93"/>
      <c r="D89" s="93"/>
      <c r="E89" s="93"/>
      <c r="F89" s="93"/>
      <c r="G89" s="93"/>
      <c r="H89" s="93"/>
      <c r="I89" s="93"/>
      <c r="J89" s="93"/>
      <c r="K89" s="93"/>
      <c r="L89" s="93"/>
      <c r="M89" s="94"/>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4"/>
      <c r="BG89" s="94"/>
      <c r="BH89" s="94"/>
      <c r="BI89" s="94"/>
      <c r="BJ89" s="94"/>
      <c r="BK89" s="94"/>
      <c r="BL89" s="65"/>
      <c r="BM89" s="60">
        <f t="shared" si="1"/>
        <v>0</v>
      </c>
      <c r="BN89" s="60" t="s">
        <v>1396</v>
      </c>
      <c r="BO89" s="57"/>
    </row>
    <row r="90">
      <c r="A90" s="60" t="s">
        <v>326</v>
      </c>
      <c r="B90" s="92" t="s">
        <v>1262</v>
      </c>
      <c r="C90" s="93"/>
      <c r="D90" s="93"/>
      <c r="E90" s="93"/>
      <c r="F90" s="93"/>
      <c r="G90" s="93"/>
      <c r="H90" s="93"/>
      <c r="I90" s="93"/>
      <c r="J90" s="93"/>
      <c r="K90" s="93"/>
      <c r="L90" s="57"/>
      <c r="M90" s="65" t="s">
        <v>1471</v>
      </c>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65" t="s">
        <v>1472</v>
      </c>
      <c r="BG90" s="65"/>
      <c r="BH90" s="65"/>
      <c r="BI90" s="65"/>
      <c r="BJ90" s="65"/>
      <c r="BK90" s="65"/>
      <c r="BL90" s="65"/>
      <c r="BM90" s="60">
        <f t="shared" si="1"/>
        <v>2</v>
      </c>
      <c r="BN90" s="60" t="s">
        <v>1473</v>
      </c>
      <c r="BO90" s="57"/>
    </row>
    <row r="91">
      <c r="A91" s="60" t="s">
        <v>327</v>
      </c>
      <c r="B91" s="95">
        <v>43161.0</v>
      </c>
      <c r="C91" s="93"/>
      <c r="D91" s="93"/>
      <c r="E91" s="93"/>
      <c r="F91" s="93"/>
      <c r="G91" s="93"/>
      <c r="H91" s="93"/>
      <c r="I91" s="93"/>
      <c r="J91" s="93"/>
      <c r="K91" s="93"/>
      <c r="L91" s="93"/>
      <c r="M91" s="93"/>
      <c r="N91" s="93"/>
      <c r="O91" s="93"/>
      <c r="P91" s="93"/>
      <c r="Q91" s="93"/>
      <c r="R91" s="93"/>
      <c r="S91" s="93"/>
      <c r="T91" s="93"/>
      <c r="U91" s="93"/>
      <c r="V91" s="93"/>
      <c r="W91" s="94"/>
      <c r="X91" s="94"/>
      <c r="Y91" s="94"/>
      <c r="Z91" s="94"/>
      <c r="AA91" s="94"/>
      <c r="AB91" s="65"/>
      <c r="AC91" s="65" t="s">
        <v>1069</v>
      </c>
      <c r="AD91" s="65"/>
      <c r="AE91" s="65"/>
      <c r="AF91" s="65"/>
      <c r="AG91" s="65"/>
      <c r="AH91" s="65"/>
      <c r="AI91" s="65"/>
      <c r="AJ91" s="65" t="s">
        <v>1413</v>
      </c>
      <c r="AK91" s="65"/>
      <c r="AL91" s="65" t="s">
        <v>1236</v>
      </c>
      <c r="AM91" s="65"/>
      <c r="AN91" s="65"/>
      <c r="AO91" s="65"/>
      <c r="AP91" s="65"/>
      <c r="AQ91" s="65"/>
      <c r="AR91" s="65"/>
      <c r="AS91" s="65" t="s">
        <v>1474</v>
      </c>
      <c r="AT91" s="65"/>
      <c r="AU91" s="65"/>
      <c r="AV91" s="65"/>
      <c r="AW91" s="65"/>
      <c r="AX91" s="65"/>
      <c r="AY91" s="65"/>
      <c r="AZ91" s="65"/>
      <c r="BA91" s="65"/>
      <c r="BB91" s="65" t="s">
        <v>1254</v>
      </c>
      <c r="BC91" s="65" t="s">
        <v>1475</v>
      </c>
      <c r="BD91" s="65"/>
      <c r="BE91" s="65"/>
      <c r="BF91" s="65"/>
      <c r="BG91" s="65"/>
      <c r="BH91" s="65"/>
      <c r="BI91" s="65"/>
      <c r="BJ91" s="65"/>
      <c r="BK91" s="65"/>
      <c r="BL91" s="65"/>
      <c r="BM91" s="60">
        <f t="shared" si="1"/>
        <v>6</v>
      </c>
      <c r="BN91" s="60" t="s">
        <v>1476</v>
      </c>
      <c r="BO91" s="57"/>
    </row>
    <row r="92">
      <c r="A92" s="60" t="s">
        <v>328</v>
      </c>
      <c r="B92" s="95">
        <v>42818.0</v>
      </c>
      <c r="C92" s="93"/>
      <c r="D92" s="93"/>
      <c r="E92" s="93"/>
      <c r="F92" s="93"/>
      <c r="G92" s="93"/>
      <c r="H92" s="93"/>
      <c r="I92" s="93"/>
      <c r="J92" s="93"/>
      <c r="K92" s="93"/>
      <c r="L92" s="93"/>
      <c r="M92" s="93"/>
      <c r="N92" s="93"/>
      <c r="O92" s="93"/>
      <c r="P92" s="93"/>
      <c r="Q92" s="93"/>
      <c r="R92" s="93"/>
      <c r="S92" s="93"/>
      <c r="T92" s="93"/>
      <c r="U92" s="57"/>
      <c r="V92" s="57"/>
      <c r="W92" s="65" t="s">
        <v>1477</v>
      </c>
      <c r="X92" s="65"/>
      <c r="Y92" s="65"/>
      <c r="Z92" s="65"/>
      <c r="AA92" s="65"/>
      <c r="AB92" s="65" t="s">
        <v>1478</v>
      </c>
      <c r="AC92" s="65"/>
      <c r="AD92" s="65"/>
      <c r="AE92" s="65"/>
      <c r="AF92" s="65"/>
      <c r="AG92" s="65"/>
      <c r="AH92" s="65"/>
      <c r="AI92" s="65"/>
      <c r="AJ92" s="65"/>
      <c r="AK92" s="65"/>
      <c r="AL92" s="65"/>
      <c r="AM92" s="65"/>
      <c r="AN92" s="65"/>
      <c r="AO92" s="65" t="s">
        <v>1079</v>
      </c>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0">
        <f t="shared" si="1"/>
        <v>3</v>
      </c>
      <c r="BN92" s="60" t="s">
        <v>1479</v>
      </c>
      <c r="BO92" s="57"/>
    </row>
    <row r="93">
      <c r="A93" s="60" t="s">
        <v>332</v>
      </c>
      <c r="B93" s="92" t="s">
        <v>1480</v>
      </c>
      <c r="C93" s="93"/>
      <c r="D93" s="93"/>
      <c r="E93" s="93"/>
      <c r="F93" s="93"/>
      <c r="G93" s="93"/>
      <c r="H93" s="93"/>
      <c r="I93" s="93"/>
      <c r="J93" s="93"/>
      <c r="K93" s="93"/>
      <c r="L93" s="93"/>
      <c r="M93" s="93"/>
      <c r="N93" s="93"/>
      <c r="O93" s="93"/>
      <c r="P93" s="93"/>
      <c r="Q93" s="93"/>
      <c r="R93" s="94"/>
      <c r="S93" s="94"/>
      <c r="T93" s="93"/>
      <c r="U93" s="93"/>
      <c r="V93" s="94"/>
      <c r="W93" s="94"/>
      <c r="X93" s="94"/>
      <c r="Y93" s="94"/>
      <c r="Z93" s="94"/>
      <c r="AA93" s="94"/>
      <c r="AB93" s="94"/>
      <c r="AC93" s="94"/>
      <c r="AD93" s="94"/>
      <c r="AE93" s="94"/>
      <c r="AF93" s="94"/>
      <c r="AG93" s="94"/>
      <c r="AH93" s="94"/>
      <c r="AI93" s="94"/>
      <c r="AJ93" s="94"/>
      <c r="AK93" s="94"/>
      <c r="AL93" s="94"/>
      <c r="AM93" s="94"/>
      <c r="AN93" s="94"/>
      <c r="AO93" s="94"/>
      <c r="AP93" s="94"/>
      <c r="AQ93" s="94"/>
      <c r="AR93" s="94"/>
      <c r="AS93" s="94"/>
      <c r="AT93" s="94"/>
      <c r="AU93" s="94"/>
      <c r="AV93" s="94"/>
      <c r="AW93" s="94"/>
      <c r="AX93" s="94"/>
      <c r="AY93" s="65"/>
      <c r="AZ93" s="65"/>
      <c r="BA93" s="65"/>
      <c r="BB93" s="65"/>
      <c r="BC93" s="65"/>
      <c r="BD93" s="65"/>
      <c r="BE93" s="65" t="s">
        <v>1481</v>
      </c>
      <c r="BF93" s="65"/>
      <c r="BG93" s="65"/>
      <c r="BH93" s="65"/>
      <c r="BI93" s="65"/>
      <c r="BJ93" s="65"/>
      <c r="BK93" s="65"/>
      <c r="BL93" s="65"/>
      <c r="BM93" s="60">
        <f t="shared" si="1"/>
        <v>1</v>
      </c>
      <c r="BN93" s="60" t="s">
        <v>1481</v>
      </c>
      <c r="BO93" s="57"/>
    </row>
    <row r="94">
      <c r="A94" s="60" t="s">
        <v>358</v>
      </c>
      <c r="B94" s="92" t="s">
        <v>1064</v>
      </c>
      <c r="C94" s="57"/>
      <c r="D94" s="65" t="s">
        <v>1482</v>
      </c>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65" t="s">
        <v>1162</v>
      </c>
      <c r="AE94" s="65"/>
      <c r="AF94" s="65"/>
      <c r="AG94" s="65"/>
      <c r="AH94" s="65"/>
      <c r="AI94" s="65"/>
      <c r="AJ94" s="65"/>
      <c r="AK94" s="65"/>
      <c r="AL94" s="65" t="s">
        <v>1483</v>
      </c>
      <c r="AM94" s="65"/>
      <c r="AN94" s="65" t="s">
        <v>1165</v>
      </c>
      <c r="AO94" s="65"/>
      <c r="AP94" s="65"/>
      <c r="AQ94" s="65"/>
      <c r="AR94" s="65"/>
      <c r="AS94" s="65"/>
      <c r="AT94" s="65"/>
      <c r="AU94" s="65"/>
      <c r="AV94" s="65"/>
      <c r="AW94" s="65"/>
      <c r="AX94" s="65"/>
      <c r="AY94" s="65"/>
      <c r="AZ94" s="65" t="s">
        <v>1484</v>
      </c>
      <c r="BA94" s="65"/>
      <c r="BB94" s="65"/>
      <c r="BC94" s="65" t="s">
        <v>1465</v>
      </c>
      <c r="BD94" s="65"/>
      <c r="BE94" s="65"/>
      <c r="BF94" s="65"/>
      <c r="BG94" s="65"/>
      <c r="BH94" s="65"/>
      <c r="BI94" s="65"/>
      <c r="BJ94" s="65" t="s">
        <v>1485</v>
      </c>
      <c r="BK94" s="65"/>
      <c r="BL94" s="65"/>
      <c r="BM94" s="60">
        <f t="shared" si="1"/>
        <v>7</v>
      </c>
      <c r="BN94" s="60" t="s">
        <v>1486</v>
      </c>
      <c r="BO94" s="57"/>
    </row>
    <row r="95">
      <c r="A95" s="60" t="s">
        <v>361</v>
      </c>
      <c r="B95" s="92" t="s">
        <v>1487</v>
      </c>
      <c r="C95" s="93"/>
      <c r="D95" s="94"/>
      <c r="E95" s="93"/>
      <c r="F95" s="93"/>
      <c r="G95" s="93"/>
      <c r="H95" s="94"/>
      <c r="I95" s="94"/>
      <c r="J95" s="93"/>
      <c r="K95" s="93"/>
      <c r="L95" s="93"/>
      <c r="M95" s="93"/>
      <c r="N95" s="94"/>
      <c r="O95" s="93"/>
      <c r="P95" s="93"/>
      <c r="Q95" s="93"/>
      <c r="R95" s="94"/>
      <c r="S95" s="93"/>
      <c r="T95" s="93"/>
      <c r="U95" s="93"/>
      <c r="V95" s="93"/>
      <c r="W95" s="93"/>
      <c r="X95" s="93"/>
      <c r="Y95" s="93"/>
      <c r="Z95" s="93"/>
      <c r="AA95" s="93"/>
      <c r="AB95" s="93"/>
      <c r="AC95" s="93"/>
      <c r="AD95" s="93"/>
      <c r="AE95" s="94"/>
      <c r="AF95" s="94"/>
      <c r="AG95" s="94"/>
      <c r="AH95" s="94"/>
      <c r="AI95" s="94"/>
      <c r="AJ95" s="94"/>
      <c r="AK95" s="94"/>
      <c r="AL95" s="94"/>
      <c r="AM95" s="94"/>
      <c r="AN95" s="94"/>
      <c r="AO95" s="94"/>
      <c r="AP95" s="94"/>
      <c r="AQ95" s="94"/>
      <c r="AR95" s="94"/>
      <c r="AS95" s="94"/>
      <c r="AT95" s="94"/>
      <c r="AU95" s="65"/>
      <c r="AV95" s="65" t="s">
        <v>1488</v>
      </c>
      <c r="AW95" s="65"/>
      <c r="AX95" s="65" t="s">
        <v>1489</v>
      </c>
      <c r="AY95" s="65" t="s">
        <v>1490</v>
      </c>
      <c r="AZ95" s="65"/>
      <c r="BA95" s="65"/>
      <c r="BB95" s="65"/>
      <c r="BC95" s="65"/>
      <c r="BD95" s="65"/>
      <c r="BE95" s="65"/>
      <c r="BF95" s="65"/>
      <c r="BG95" s="65"/>
      <c r="BH95" s="65"/>
      <c r="BI95" s="65"/>
      <c r="BJ95" s="65"/>
      <c r="BK95" s="65"/>
      <c r="BL95" s="65"/>
      <c r="BM95" s="60">
        <f t="shared" si="1"/>
        <v>3</v>
      </c>
      <c r="BN95" s="60" t="s">
        <v>1491</v>
      </c>
      <c r="BO95" s="57"/>
    </row>
    <row r="96">
      <c r="A96" s="60" t="s">
        <v>364</v>
      </c>
      <c r="B96" s="92" t="s">
        <v>1064</v>
      </c>
      <c r="C96" s="57"/>
      <c r="D96" s="57"/>
      <c r="E96" s="57"/>
      <c r="F96" s="57"/>
      <c r="G96" s="65" t="s">
        <v>1069</v>
      </c>
      <c r="H96" s="65" t="s">
        <v>1492</v>
      </c>
      <c r="I96" s="57"/>
      <c r="J96" s="57"/>
      <c r="K96" s="57"/>
      <c r="L96" s="57"/>
      <c r="M96" s="57"/>
      <c r="N96" s="65" t="s">
        <v>1493</v>
      </c>
      <c r="O96" s="57"/>
      <c r="P96" s="65" t="s">
        <v>1494</v>
      </c>
      <c r="Q96" s="57"/>
      <c r="R96" s="57"/>
      <c r="S96" s="57"/>
      <c r="T96" s="57"/>
      <c r="U96" s="57"/>
      <c r="V96" s="57"/>
      <c r="W96" s="57"/>
      <c r="X96" s="57"/>
      <c r="Y96" s="57"/>
      <c r="Z96" s="57"/>
      <c r="AA96" s="57"/>
      <c r="AB96" s="57"/>
      <c r="AC96" s="65" t="s">
        <v>1069</v>
      </c>
      <c r="AD96" s="65"/>
      <c r="AE96" s="65"/>
      <c r="AF96" s="65"/>
      <c r="AG96" s="65"/>
      <c r="AH96" s="65"/>
      <c r="AI96" s="65"/>
      <c r="AJ96" s="65"/>
      <c r="AK96" s="65"/>
      <c r="AL96" s="65"/>
      <c r="AM96" s="65"/>
      <c r="AN96" s="65"/>
      <c r="AO96" s="65"/>
      <c r="AP96" s="65"/>
      <c r="AQ96" s="65"/>
      <c r="AR96" s="65"/>
      <c r="AS96" s="65"/>
      <c r="AT96" s="65"/>
      <c r="AU96" s="65"/>
      <c r="AV96" s="65"/>
      <c r="AW96" s="65"/>
      <c r="AX96" s="65"/>
      <c r="AY96" s="65"/>
      <c r="AZ96" s="65"/>
      <c r="BA96" s="65"/>
      <c r="BB96" s="65"/>
      <c r="BC96" s="65"/>
      <c r="BD96" s="65"/>
      <c r="BE96" s="65"/>
      <c r="BF96" s="65"/>
      <c r="BG96" s="65"/>
      <c r="BH96" s="65"/>
      <c r="BI96" s="65"/>
      <c r="BJ96" s="65"/>
      <c r="BK96" s="65"/>
      <c r="BL96" s="65"/>
      <c r="BM96" s="60">
        <f t="shared" si="1"/>
        <v>5</v>
      </c>
      <c r="BN96" s="60" t="s">
        <v>1495</v>
      </c>
      <c r="BO96" s="57"/>
    </row>
    <row r="97">
      <c r="A97" s="60" t="s">
        <v>370</v>
      </c>
      <c r="B97" s="95">
        <v>42762.0</v>
      </c>
      <c r="C97" s="93"/>
      <c r="D97" s="93"/>
      <c r="E97" s="93"/>
      <c r="F97" s="93"/>
      <c r="G97" s="93"/>
      <c r="H97" s="93"/>
      <c r="I97" s="93"/>
      <c r="J97" s="93"/>
      <c r="K97" s="93"/>
      <c r="L97" s="93"/>
      <c r="M97" s="93"/>
      <c r="N97" s="93"/>
      <c r="O97" s="93"/>
      <c r="P97" s="93"/>
      <c r="Q97" s="93"/>
      <c r="R97" s="57"/>
      <c r="S97" s="57"/>
      <c r="T97" s="65" t="s">
        <v>1496</v>
      </c>
      <c r="U97" s="65" t="s">
        <v>1248</v>
      </c>
      <c r="V97" s="65" t="s">
        <v>1210</v>
      </c>
      <c r="W97" s="65"/>
      <c r="X97" s="65"/>
      <c r="Y97" s="65"/>
      <c r="Z97" s="65"/>
      <c r="AA97" s="65"/>
      <c r="AB97" s="65"/>
      <c r="AC97" s="65"/>
      <c r="AD97" s="65"/>
      <c r="AE97" s="65"/>
      <c r="AF97" s="65"/>
      <c r="AG97" s="65"/>
      <c r="AH97" s="65"/>
      <c r="AI97" s="65"/>
      <c r="AJ97" s="65"/>
      <c r="AK97" s="65"/>
      <c r="AL97" s="65"/>
      <c r="AM97" s="65"/>
      <c r="AN97" s="65"/>
      <c r="AO97" s="65"/>
      <c r="AP97" s="65"/>
      <c r="AQ97" s="65"/>
      <c r="AR97" s="65"/>
      <c r="AS97" s="65"/>
      <c r="AT97" s="65" t="s">
        <v>1497</v>
      </c>
      <c r="AU97" s="65"/>
      <c r="AV97" s="65" t="s">
        <v>1498</v>
      </c>
      <c r="AW97" s="65" t="s">
        <v>1499</v>
      </c>
      <c r="AX97" s="65"/>
      <c r="AY97" s="65"/>
      <c r="AZ97" s="65"/>
      <c r="BA97" s="65"/>
      <c r="BB97" s="65"/>
      <c r="BC97" s="65"/>
      <c r="BD97" s="65"/>
      <c r="BE97" s="65"/>
      <c r="BF97" s="65"/>
      <c r="BG97" s="65"/>
      <c r="BH97" s="65"/>
      <c r="BI97" s="65"/>
      <c r="BJ97" s="65"/>
      <c r="BK97" s="65"/>
      <c r="BL97" s="65"/>
      <c r="BM97" s="60">
        <f t="shared" si="1"/>
        <v>6</v>
      </c>
      <c r="BN97" s="60" t="s">
        <v>1500</v>
      </c>
      <c r="BO97" s="57"/>
    </row>
    <row r="98">
      <c r="A98" s="60" t="s">
        <v>388</v>
      </c>
      <c r="B98" s="92" t="s">
        <v>1501</v>
      </c>
      <c r="C98" s="93"/>
      <c r="D98" s="93"/>
      <c r="E98" s="93"/>
      <c r="F98" s="93"/>
      <c r="G98" s="93"/>
      <c r="H98" s="93"/>
      <c r="I98" s="93"/>
      <c r="J98" s="93"/>
      <c r="K98" s="93"/>
      <c r="L98" s="93"/>
      <c r="M98" s="94"/>
      <c r="N98" s="94"/>
      <c r="O98" s="93"/>
      <c r="P98" s="94"/>
      <c r="Q98" s="93"/>
      <c r="R98" s="94"/>
      <c r="S98" s="93"/>
      <c r="T98" s="93"/>
      <c r="U98" s="65"/>
      <c r="V98" s="65"/>
      <c r="W98" s="65" t="s">
        <v>1502</v>
      </c>
      <c r="X98" s="65" t="s">
        <v>1503</v>
      </c>
      <c r="Y98" s="65"/>
      <c r="Z98" s="65"/>
      <c r="AA98" s="65" t="s">
        <v>1504</v>
      </c>
      <c r="AB98" s="65"/>
      <c r="AC98" s="65"/>
      <c r="AD98" s="65"/>
      <c r="AE98" s="65"/>
      <c r="AF98" s="65"/>
      <c r="AG98" s="65"/>
      <c r="AH98" s="65"/>
      <c r="AI98" s="65"/>
      <c r="AJ98" s="65"/>
      <c r="AK98" s="65"/>
      <c r="AL98" s="65"/>
      <c r="AM98" s="65"/>
      <c r="AN98" s="65"/>
      <c r="AO98" s="65"/>
      <c r="AP98" s="65"/>
      <c r="AQ98" s="65"/>
      <c r="AR98" s="65" t="s">
        <v>1105</v>
      </c>
      <c r="AS98" s="65"/>
      <c r="AT98" s="65"/>
      <c r="AU98" s="65" t="s">
        <v>1505</v>
      </c>
      <c r="AV98" s="65"/>
      <c r="AW98" s="65"/>
      <c r="AX98" s="65"/>
      <c r="AY98" s="65" t="s">
        <v>1506</v>
      </c>
      <c r="AZ98" s="65"/>
      <c r="BA98" s="65"/>
      <c r="BB98" s="65"/>
      <c r="BC98" s="65"/>
      <c r="BD98" s="65"/>
      <c r="BE98" s="65"/>
      <c r="BF98" s="65" t="s">
        <v>1507</v>
      </c>
      <c r="BG98" s="65"/>
      <c r="BH98" s="65"/>
      <c r="BI98" s="65"/>
      <c r="BJ98" s="65"/>
      <c r="BK98" s="65"/>
      <c r="BL98" s="65"/>
      <c r="BM98" s="60">
        <f t="shared" si="1"/>
        <v>7</v>
      </c>
      <c r="BN98" s="60" t="s">
        <v>1508</v>
      </c>
      <c r="BO98" s="57"/>
    </row>
    <row r="99">
      <c r="A99" s="60" t="s">
        <v>389</v>
      </c>
      <c r="B99" s="92" t="s">
        <v>1262</v>
      </c>
      <c r="C99" s="93"/>
      <c r="D99" s="93"/>
      <c r="E99" s="93"/>
      <c r="F99" s="93"/>
      <c r="G99" s="93"/>
      <c r="H99" s="93"/>
      <c r="I99" s="93"/>
      <c r="J99" s="93"/>
      <c r="K99" s="93"/>
      <c r="L99" s="57"/>
      <c r="M99" s="65" t="s">
        <v>1509</v>
      </c>
      <c r="N99" s="65" t="s">
        <v>1510</v>
      </c>
      <c r="O99" s="57"/>
      <c r="P99" s="65" t="s">
        <v>1511</v>
      </c>
      <c r="Q99" s="57"/>
      <c r="R99" s="65" t="s">
        <v>1190</v>
      </c>
      <c r="S99" s="57"/>
      <c r="T99" s="57"/>
      <c r="U99" s="65" t="s">
        <v>1512</v>
      </c>
      <c r="V99" s="65" t="s">
        <v>1138</v>
      </c>
      <c r="W99" s="65"/>
      <c r="X99" s="65"/>
      <c r="Y99" s="65"/>
      <c r="Z99" s="65"/>
      <c r="AA99" s="65" t="s">
        <v>1094</v>
      </c>
      <c r="AB99" s="65"/>
      <c r="AC99" s="65"/>
      <c r="AD99" s="65"/>
      <c r="AE99" s="65"/>
      <c r="AF99" s="65"/>
      <c r="AG99" s="65"/>
      <c r="AH99" s="65"/>
      <c r="AI99" s="65"/>
      <c r="AJ99" s="65"/>
      <c r="AK99" s="65"/>
      <c r="AL99" s="65"/>
      <c r="AM99" s="65"/>
      <c r="AN99" s="65"/>
      <c r="AO99" s="65"/>
      <c r="AP99" s="65"/>
      <c r="AQ99" s="65"/>
      <c r="AR99" s="65"/>
      <c r="AS99" s="65" t="s">
        <v>1084</v>
      </c>
      <c r="AT99" s="65"/>
      <c r="AU99" s="65"/>
      <c r="AV99" s="65"/>
      <c r="AW99" s="65"/>
      <c r="AX99" s="65"/>
      <c r="AY99" s="65"/>
      <c r="AZ99" s="65"/>
      <c r="BA99" s="65"/>
      <c r="BB99" s="65"/>
      <c r="BC99" s="65"/>
      <c r="BD99" s="65"/>
      <c r="BE99" s="65"/>
      <c r="BF99" s="65"/>
      <c r="BG99" s="65"/>
      <c r="BH99" s="65"/>
      <c r="BI99" s="65"/>
      <c r="BJ99" s="65"/>
      <c r="BK99" s="65"/>
      <c r="BL99" s="65"/>
      <c r="BM99" s="60">
        <f t="shared" si="1"/>
        <v>8</v>
      </c>
      <c r="BN99" s="60" t="s">
        <v>1513</v>
      </c>
      <c r="BO99" s="57"/>
    </row>
    <row r="100">
      <c r="A100" s="60" t="s">
        <v>393</v>
      </c>
      <c r="B100" s="92" t="s">
        <v>1514</v>
      </c>
      <c r="C100" s="93"/>
      <c r="D100" s="94"/>
      <c r="E100" s="93"/>
      <c r="F100" s="93"/>
      <c r="G100" s="93"/>
      <c r="H100" s="94"/>
      <c r="I100" s="94"/>
      <c r="J100" s="93"/>
      <c r="K100" s="93"/>
      <c r="L100" s="93"/>
      <c r="M100" s="93"/>
      <c r="N100" s="94"/>
      <c r="O100" s="93"/>
      <c r="P100" s="93"/>
      <c r="Q100" s="93"/>
      <c r="R100" s="94"/>
      <c r="S100" s="93"/>
      <c r="T100" s="93"/>
      <c r="U100" s="93"/>
      <c r="V100" s="93"/>
      <c r="W100" s="93"/>
      <c r="X100" s="93"/>
      <c r="Y100" s="93"/>
      <c r="Z100" s="93"/>
      <c r="AA100" s="93"/>
      <c r="AB100" s="93"/>
      <c r="AC100" s="93"/>
      <c r="AD100" s="93"/>
      <c r="AE100" s="94"/>
      <c r="AF100" s="94"/>
      <c r="AG100" s="94"/>
      <c r="AH100" s="94"/>
      <c r="AI100" s="94"/>
      <c r="AJ100" s="94"/>
      <c r="AK100" s="94"/>
      <c r="AL100" s="94"/>
      <c r="AM100" s="94"/>
      <c r="AN100" s="94"/>
      <c r="AO100" s="94"/>
      <c r="AP100" s="94"/>
      <c r="AQ100" s="94"/>
      <c r="AR100" s="94"/>
      <c r="AS100" s="94"/>
      <c r="AT100" s="94"/>
      <c r="AU100" s="94"/>
      <c r="AV100" s="94"/>
      <c r="AW100" s="94"/>
      <c r="AX100" s="94"/>
      <c r="AY100" s="94"/>
      <c r="AZ100" s="94"/>
      <c r="BA100" s="65"/>
      <c r="BB100" s="65"/>
      <c r="BC100" s="65" t="s">
        <v>1515</v>
      </c>
      <c r="BD100" s="65" t="s">
        <v>1170</v>
      </c>
      <c r="BE100" s="65"/>
      <c r="BF100" s="65" t="s">
        <v>1516</v>
      </c>
      <c r="BG100" s="65"/>
      <c r="BH100" s="65"/>
      <c r="BI100" s="65"/>
      <c r="BJ100" s="65"/>
      <c r="BK100" s="65"/>
      <c r="BL100" s="65"/>
      <c r="BM100" s="60">
        <f t="shared" si="1"/>
        <v>3</v>
      </c>
      <c r="BN100" s="60" t="s">
        <v>1517</v>
      </c>
      <c r="BO100" s="57"/>
    </row>
    <row r="101">
      <c r="A101" s="60" t="s">
        <v>395</v>
      </c>
      <c r="B101" s="92" t="s">
        <v>1518</v>
      </c>
      <c r="C101" s="93"/>
      <c r="D101" s="94"/>
      <c r="E101" s="93"/>
      <c r="F101" s="93"/>
      <c r="G101" s="93"/>
      <c r="H101" s="94"/>
      <c r="I101" s="94"/>
      <c r="J101" s="93"/>
      <c r="K101" s="93"/>
      <c r="L101" s="93"/>
      <c r="M101" s="93"/>
      <c r="N101" s="94"/>
      <c r="O101" s="93"/>
      <c r="P101" s="93"/>
      <c r="Q101" s="93"/>
      <c r="R101" s="94"/>
      <c r="S101" s="93"/>
      <c r="T101" s="93"/>
      <c r="U101" s="93"/>
      <c r="V101" s="93"/>
      <c r="W101" s="93"/>
      <c r="X101" s="93"/>
      <c r="Y101" s="93"/>
      <c r="Z101" s="93"/>
      <c r="AA101" s="93"/>
      <c r="AB101" s="93"/>
      <c r="AC101" s="93"/>
      <c r="AD101" s="93"/>
      <c r="AE101" s="94"/>
      <c r="AF101" s="94"/>
      <c r="AG101" s="94"/>
      <c r="AH101" s="94"/>
      <c r="AI101" s="94"/>
      <c r="AJ101" s="94"/>
      <c r="AK101" s="94"/>
      <c r="AL101" s="94"/>
      <c r="AM101" s="94"/>
      <c r="AN101" s="94"/>
      <c r="AO101" s="94"/>
      <c r="AP101" s="94"/>
      <c r="AQ101" s="94"/>
      <c r="AR101" s="94"/>
      <c r="AS101" s="94"/>
      <c r="AT101" s="94"/>
      <c r="AU101" s="94"/>
      <c r="AV101" s="94"/>
      <c r="AW101" s="94"/>
      <c r="AX101" s="65"/>
      <c r="AY101" s="65"/>
      <c r="AZ101" s="65"/>
      <c r="BA101" s="65"/>
      <c r="BB101" s="65"/>
      <c r="BC101" s="65" t="s">
        <v>1240</v>
      </c>
      <c r="BD101" s="65"/>
      <c r="BE101" s="65"/>
      <c r="BF101" s="65"/>
      <c r="BG101" s="65"/>
      <c r="BH101" s="65" t="s">
        <v>1069</v>
      </c>
      <c r="BI101" s="65"/>
      <c r="BJ101" s="65"/>
      <c r="BK101" s="65"/>
      <c r="BL101" s="65"/>
      <c r="BM101" s="60">
        <f t="shared" si="1"/>
        <v>2</v>
      </c>
      <c r="BN101" s="60" t="s">
        <v>1240</v>
      </c>
      <c r="BO101" s="57"/>
    </row>
    <row r="102">
      <c r="A102" s="60" t="s">
        <v>396</v>
      </c>
      <c r="B102" s="92" t="s">
        <v>1519</v>
      </c>
      <c r="C102" s="93"/>
      <c r="D102" s="93"/>
      <c r="E102" s="93"/>
      <c r="F102" s="93"/>
      <c r="G102" s="93"/>
      <c r="H102" s="93"/>
      <c r="I102" s="93"/>
      <c r="J102" s="93"/>
      <c r="K102" s="93"/>
      <c r="L102" s="93"/>
      <c r="M102" s="93"/>
      <c r="N102" s="93"/>
      <c r="O102" s="93"/>
      <c r="P102" s="57"/>
      <c r="Q102" s="57"/>
      <c r="R102" s="57"/>
      <c r="S102" s="57"/>
      <c r="T102" s="57"/>
      <c r="U102" s="65" t="s">
        <v>1069</v>
      </c>
      <c r="V102" s="65"/>
      <c r="W102" s="65" t="s">
        <v>1069</v>
      </c>
      <c r="X102" s="65"/>
      <c r="Y102" s="65"/>
      <c r="Z102" s="65"/>
      <c r="AA102" s="65"/>
      <c r="AB102" s="65"/>
      <c r="AC102" s="65" t="s">
        <v>1069</v>
      </c>
      <c r="AD102" s="65"/>
      <c r="AE102" s="65" t="s">
        <v>1456</v>
      </c>
      <c r="AF102" s="65"/>
      <c r="AG102" s="65"/>
      <c r="AH102" s="65"/>
      <c r="AI102" s="65"/>
      <c r="AJ102" s="65"/>
      <c r="AK102" s="65"/>
      <c r="AL102" s="65"/>
      <c r="AM102" s="65" t="s">
        <v>1069</v>
      </c>
      <c r="AN102" s="65"/>
      <c r="AO102" s="65" t="s">
        <v>1520</v>
      </c>
      <c r="AP102" s="65"/>
      <c r="AQ102" s="65"/>
      <c r="AR102" s="65"/>
      <c r="AS102" s="65"/>
      <c r="AT102" s="65"/>
      <c r="AU102" s="65"/>
      <c r="AV102" s="65"/>
      <c r="AW102" s="65"/>
      <c r="AX102" s="65"/>
      <c r="AY102" s="65"/>
      <c r="AZ102" s="65"/>
      <c r="BA102" s="65"/>
      <c r="BB102" s="65"/>
      <c r="BC102" s="65"/>
      <c r="BD102" s="65"/>
      <c r="BE102" s="65"/>
      <c r="BF102" s="65"/>
      <c r="BG102" s="65"/>
      <c r="BH102" s="65"/>
      <c r="BI102" s="65"/>
      <c r="BJ102" s="65"/>
      <c r="BK102" s="65"/>
      <c r="BL102" s="65"/>
      <c r="BM102" s="60">
        <f t="shared" si="1"/>
        <v>6</v>
      </c>
      <c r="BN102" s="60" t="s">
        <v>1396</v>
      </c>
      <c r="BO102" s="57"/>
    </row>
    <row r="103">
      <c r="A103" s="60" t="s">
        <v>397</v>
      </c>
      <c r="B103" s="92" t="s">
        <v>1521</v>
      </c>
      <c r="C103" s="93"/>
      <c r="D103" s="93"/>
      <c r="E103" s="93"/>
      <c r="F103" s="93"/>
      <c r="G103" s="93"/>
      <c r="H103" s="93"/>
      <c r="I103" s="93"/>
      <c r="J103" s="93"/>
      <c r="K103" s="93"/>
      <c r="L103" s="93"/>
      <c r="M103" s="93"/>
      <c r="N103" s="93"/>
      <c r="O103" s="93"/>
      <c r="P103" s="57"/>
      <c r="Q103" s="57"/>
      <c r="R103" s="65" t="s">
        <v>1317</v>
      </c>
      <c r="S103" s="57"/>
      <c r="T103" s="57"/>
      <c r="U103" s="65" t="s">
        <v>1069</v>
      </c>
      <c r="V103" s="65"/>
      <c r="W103" s="65" t="s">
        <v>1455</v>
      </c>
      <c r="X103" s="65"/>
      <c r="Y103" s="65"/>
      <c r="Z103" s="65"/>
      <c r="AA103" s="65"/>
      <c r="AB103" s="65"/>
      <c r="AC103" s="65" t="s">
        <v>1522</v>
      </c>
      <c r="AD103" s="65"/>
      <c r="AE103" s="65"/>
      <c r="AF103" s="65"/>
      <c r="AG103" s="65"/>
      <c r="AH103" s="65"/>
      <c r="AI103" s="65"/>
      <c r="AJ103" s="65"/>
      <c r="AK103" s="65"/>
      <c r="AL103" s="65"/>
      <c r="AM103" s="65"/>
      <c r="AN103" s="65"/>
      <c r="AO103" s="65"/>
      <c r="AP103" s="65"/>
      <c r="AQ103" s="65"/>
      <c r="AR103" s="65"/>
      <c r="AS103" s="65"/>
      <c r="AT103" s="65"/>
      <c r="AU103" s="65"/>
      <c r="AV103" s="65"/>
      <c r="AW103" s="65"/>
      <c r="AX103" s="65"/>
      <c r="AY103" s="65"/>
      <c r="AZ103" s="65"/>
      <c r="BA103" s="65"/>
      <c r="BB103" s="65"/>
      <c r="BC103" s="65" t="s">
        <v>1523</v>
      </c>
      <c r="BD103" s="65"/>
      <c r="BE103" s="65"/>
      <c r="BF103" s="65"/>
      <c r="BG103" s="65"/>
      <c r="BH103" s="65"/>
      <c r="BI103" s="65"/>
      <c r="BJ103" s="65"/>
      <c r="BK103" s="65"/>
      <c r="BL103" s="65"/>
      <c r="BM103" s="60">
        <f t="shared" si="1"/>
        <v>5</v>
      </c>
      <c r="BN103" s="60" t="s">
        <v>1524</v>
      </c>
      <c r="BO103" s="57"/>
    </row>
    <row r="104">
      <c r="A104" s="60" t="s">
        <v>398</v>
      </c>
      <c r="B104" s="95">
        <v>42952.0</v>
      </c>
      <c r="C104" s="93"/>
      <c r="D104" s="93"/>
      <c r="E104" s="93"/>
      <c r="F104" s="93"/>
      <c r="G104" s="93"/>
      <c r="H104" s="93"/>
      <c r="I104" s="93"/>
      <c r="J104" s="93"/>
      <c r="K104" s="93"/>
      <c r="L104" s="93"/>
      <c r="M104" s="93"/>
      <c r="N104" s="93"/>
      <c r="O104" s="93"/>
      <c r="P104" s="93"/>
      <c r="Q104" s="93"/>
      <c r="R104" s="93"/>
      <c r="S104" s="93"/>
      <c r="T104" s="93"/>
      <c r="U104" s="93"/>
      <c r="V104" s="93"/>
      <c r="W104" s="65"/>
      <c r="X104" s="65"/>
      <c r="Y104" s="65" t="s">
        <v>1525</v>
      </c>
      <c r="Z104" s="65"/>
      <c r="AA104" s="65"/>
      <c r="AB104" s="65"/>
      <c r="AC104" s="65"/>
      <c r="AD104" s="65"/>
      <c r="AE104" s="65"/>
      <c r="AF104" s="65"/>
      <c r="AG104" s="65" t="s">
        <v>1526</v>
      </c>
      <c r="AH104" s="65" t="s">
        <v>1266</v>
      </c>
      <c r="AI104" s="65"/>
      <c r="AJ104" s="65" t="s">
        <v>1084</v>
      </c>
      <c r="AK104" s="65"/>
      <c r="AL104" s="65"/>
      <c r="AM104" s="65" t="s">
        <v>1096</v>
      </c>
      <c r="AN104" s="65"/>
      <c r="AO104" s="65"/>
      <c r="AP104" s="65"/>
      <c r="AQ104" s="65"/>
      <c r="AR104" s="65" t="s">
        <v>1527</v>
      </c>
      <c r="AS104" s="65"/>
      <c r="AT104" s="65"/>
      <c r="AU104" s="65"/>
      <c r="AV104" s="65"/>
      <c r="AW104" s="65"/>
      <c r="AX104" s="65"/>
      <c r="AY104" s="65"/>
      <c r="AZ104" s="65"/>
      <c r="BA104" s="65" t="s">
        <v>1087</v>
      </c>
      <c r="BB104" s="65"/>
      <c r="BC104" s="65"/>
      <c r="BD104" s="65"/>
      <c r="BE104" s="65"/>
      <c r="BF104" s="65"/>
      <c r="BG104" s="65"/>
      <c r="BH104" s="65"/>
      <c r="BI104" s="65"/>
      <c r="BJ104" s="65"/>
      <c r="BK104" s="65" t="s">
        <v>1528</v>
      </c>
      <c r="BL104" s="65" t="s">
        <v>1529</v>
      </c>
      <c r="BM104" s="60">
        <f t="shared" si="1"/>
        <v>9</v>
      </c>
      <c r="BN104" s="60" t="s">
        <v>1530</v>
      </c>
      <c r="BO104" s="57"/>
    </row>
    <row r="105">
      <c r="A105" s="60" t="s">
        <v>399</v>
      </c>
      <c r="B105" s="95">
        <v>44200.0</v>
      </c>
      <c r="C105" s="93"/>
      <c r="D105" s="93"/>
      <c r="E105" s="93"/>
      <c r="F105" s="93"/>
      <c r="G105" s="93"/>
      <c r="H105" s="93"/>
      <c r="I105" s="93"/>
      <c r="J105" s="93"/>
      <c r="K105" s="93"/>
      <c r="L105" s="93"/>
      <c r="M105" s="93"/>
      <c r="N105" s="93"/>
      <c r="O105" s="93"/>
      <c r="P105" s="93"/>
      <c r="Q105" s="93"/>
      <c r="R105" s="93"/>
      <c r="S105" s="93"/>
      <c r="T105" s="93"/>
      <c r="U105" s="93"/>
      <c r="V105" s="93"/>
      <c r="W105" s="94"/>
      <c r="X105" s="94"/>
      <c r="Y105" s="94"/>
      <c r="Z105" s="94"/>
      <c r="AA105" s="94"/>
      <c r="AB105" s="94"/>
      <c r="AC105" s="94"/>
      <c r="AD105" s="94"/>
      <c r="AE105" s="94"/>
      <c r="AF105" s="94"/>
      <c r="AG105" s="94"/>
      <c r="AH105" s="94"/>
      <c r="AI105" s="94"/>
      <c r="AJ105" s="94"/>
      <c r="AK105" s="94"/>
      <c r="AL105" s="94"/>
      <c r="AM105" s="94"/>
      <c r="AN105" s="94"/>
      <c r="AO105" s="94"/>
      <c r="AP105" s="94"/>
      <c r="AQ105" s="94"/>
      <c r="AR105" s="94"/>
      <c r="AS105" s="94"/>
      <c r="AT105" s="94"/>
      <c r="AU105" s="94"/>
      <c r="AV105" s="94"/>
      <c r="AW105" s="94"/>
      <c r="AX105" s="94"/>
      <c r="AY105" s="94"/>
      <c r="AZ105" s="94"/>
      <c r="BA105" s="94"/>
      <c r="BB105" s="94"/>
      <c r="BC105" s="94"/>
      <c r="BD105" s="94"/>
      <c r="BE105" s="94"/>
      <c r="BF105" s="94"/>
      <c r="BG105" s="94"/>
      <c r="BH105" s="94"/>
      <c r="BI105" s="94"/>
      <c r="BJ105" s="65"/>
      <c r="BK105" s="65" t="s">
        <v>1531</v>
      </c>
      <c r="BL105" s="65"/>
      <c r="BM105" s="60">
        <f t="shared" si="1"/>
        <v>1</v>
      </c>
      <c r="BN105" s="60" t="s">
        <v>1531</v>
      </c>
      <c r="BO105" s="57"/>
    </row>
    <row r="106">
      <c r="A106" s="60" t="s">
        <v>401</v>
      </c>
      <c r="B106" s="95">
        <v>43682.0</v>
      </c>
      <c r="C106" s="93"/>
      <c r="D106" s="93"/>
      <c r="E106" s="93"/>
      <c r="F106" s="93"/>
      <c r="G106" s="93"/>
      <c r="H106" s="93"/>
      <c r="I106" s="93"/>
      <c r="J106" s="93"/>
      <c r="K106" s="93"/>
      <c r="L106" s="93"/>
      <c r="M106" s="93"/>
      <c r="N106" s="93"/>
      <c r="O106" s="93"/>
      <c r="P106" s="93"/>
      <c r="Q106" s="93"/>
      <c r="R106" s="93"/>
      <c r="S106" s="93"/>
      <c r="T106" s="93"/>
      <c r="U106" s="93"/>
      <c r="V106" s="93"/>
      <c r="W106" s="94"/>
      <c r="X106" s="94"/>
      <c r="Y106" s="94"/>
      <c r="Z106" s="94"/>
      <c r="AA106" s="94"/>
      <c r="AB106" s="94"/>
      <c r="AC106" s="94"/>
      <c r="AD106" s="94"/>
      <c r="AE106" s="94"/>
      <c r="AF106" s="94"/>
      <c r="AG106" s="94"/>
      <c r="AH106" s="94"/>
      <c r="AI106" s="94"/>
      <c r="AJ106" s="94"/>
      <c r="AK106" s="94"/>
      <c r="AL106" s="94"/>
      <c r="AM106" s="94"/>
      <c r="AN106" s="94"/>
      <c r="AO106" s="94"/>
      <c r="AP106" s="94"/>
      <c r="AQ106" s="94"/>
      <c r="AR106" s="65"/>
      <c r="AS106" s="65" t="s">
        <v>1532</v>
      </c>
      <c r="AT106" s="65" t="s">
        <v>1533</v>
      </c>
      <c r="AU106" s="65" t="s">
        <v>1534</v>
      </c>
      <c r="AV106" s="65" t="s">
        <v>1535</v>
      </c>
      <c r="AW106" s="65"/>
      <c r="AX106" s="65"/>
      <c r="AY106" s="65" t="s">
        <v>1536</v>
      </c>
      <c r="AZ106" s="65"/>
      <c r="BA106" s="65"/>
      <c r="BB106" s="65"/>
      <c r="BC106" s="65"/>
      <c r="BD106" s="65"/>
      <c r="BE106" s="65" t="s">
        <v>1537</v>
      </c>
      <c r="BF106" s="65"/>
      <c r="BG106" s="65"/>
      <c r="BH106" s="65"/>
      <c r="BI106" s="65"/>
      <c r="BJ106" s="65" t="s">
        <v>1240</v>
      </c>
      <c r="BK106" s="65"/>
      <c r="BL106" s="65"/>
      <c r="BM106" s="60">
        <f t="shared" si="1"/>
        <v>7</v>
      </c>
      <c r="BN106" s="60" t="s">
        <v>1538</v>
      </c>
      <c r="BO106" s="57"/>
    </row>
    <row r="107">
      <c r="A107" s="60" t="s">
        <v>405</v>
      </c>
      <c r="B107" s="92" t="s">
        <v>1064</v>
      </c>
      <c r="C107" s="57"/>
      <c r="D107" s="57"/>
      <c r="E107" s="57"/>
      <c r="F107" s="57"/>
      <c r="G107" s="57"/>
      <c r="H107" s="57"/>
      <c r="I107" s="57"/>
      <c r="J107" s="57"/>
      <c r="K107" s="57"/>
      <c r="L107" s="57"/>
      <c r="M107" s="57"/>
      <c r="N107" s="57"/>
      <c r="O107" s="57"/>
      <c r="P107" s="57"/>
      <c r="Q107" s="57"/>
      <c r="R107" s="57"/>
      <c r="S107" s="57"/>
      <c r="T107" s="57"/>
      <c r="U107" s="57"/>
      <c r="V107" s="57"/>
      <c r="W107" s="57"/>
      <c r="X107" s="57"/>
      <c r="Y107" s="65"/>
      <c r="Z107" s="65"/>
      <c r="AA107" s="65"/>
      <c r="AB107" s="65"/>
      <c r="AC107" s="65"/>
      <c r="AD107" s="65"/>
      <c r="AE107" s="65"/>
      <c r="AF107" s="65"/>
      <c r="AG107" s="65" t="s">
        <v>1539</v>
      </c>
      <c r="AH107" s="65"/>
      <c r="AI107" s="65"/>
      <c r="AJ107" s="65"/>
      <c r="AK107" s="65"/>
      <c r="AL107" s="65"/>
      <c r="AM107" s="65"/>
      <c r="AN107" s="65"/>
      <c r="AO107" s="65"/>
      <c r="AP107" s="65"/>
      <c r="AQ107" s="65"/>
      <c r="AR107" s="65"/>
      <c r="AS107" s="65"/>
      <c r="AT107" s="65"/>
      <c r="AU107" s="65"/>
      <c r="AV107" s="65"/>
      <c r="AW107" s="65"/>
      <c r="AX107" s="65"/>
      <c r="AY107" s="65"/>
      <c r="AZ107" s="65"/>
      <c r="BA107" s="65"/>
      <c r="BB107" s="65"/>
      <c r="BC107" s="65"/>
      <c r="BD107" s="65"/>
      <c r="BE107" s="65"/>
      <c r="BF107" s="65"/>
      <c r="BG107" s="65"/>
      <c r="BH107" s="65"/>
      <c r="BI107" s="65"/>
      <c r="BJ107" s="65"/>
      <c r="BK107" s="65"/>
      <c r="BL107" s="65"/>
      <c r="BM107" s="60">
        <f t="shared" si="1"/>
        <v>1</v>
      </c>
      <c r="BN107" s="60" t="s">
        <v>1539</v>
      </c>
      <c r="BO107" s="57"/>
    </row>
    <row r="108">
      <c r="A108" s="60" t="s">
        <v>406</v>
      </c>
      <c r="B108" s="92" t="s">
        <v>1064</v>
      </c>
      <c r="C108" s="57"/>
      <c r="D108" s="57"/>
      <c r="E108" s="57"/>
      <c r="F108" s="57"/>
      <c r="G108" s="57"/>
      <c r="H108" s="57"/>
      <c r="I108" s="57"/>
      <c r="J108" s="57"/>
      <c r="K108" s="57"/>
      <c r="L108" s="57"/>
      <c r="M108" s="57"/>
      <c r="N108" s="57"/>
      <c r="O108" s="57"/>
      <c r="P108" s="57"/>
      <c r="Q108" s="57"/>
      <c r="R108" s="57"/>
      <c r="S108" s="57"/>
      <c r="T108" s="57"/>
      <c r="U108" s="57"/>
      <c r="V108" s="57"/>
      <c r="W108" s="57"/>
      <c r="X108" s="57"/>
      <c r="Y108" s="65"/>
      <c r="Z108" s="65"/>
      <c r="AA108" s="65"/>
      <c r="AB108" s="65"/>
      <c r="AC108" s="65"/>
      <c r="AD108" s="65"/>
      <c r="AE108" s="65"/>
      <c r="AF108" s="65"/>
      <c r="AG108" s="65"/>
      <c r="AH108" s="65"/>
      <c r="AI108" s="65"/>
      <c r="AJ108" s="65"/>
      <c r="AK108" s="65"/>
      <c r="AL108" s="65"/>
      <c r="AM108" s="65"/>
      <c r="AN108" s="65"/>
      <c r="AO108" s="65"/>
      <c r="AP108" s="65"/>
      <c r="AQ108" s="65"/>
      <c r="AR108" s="65"/>
      <c r="AS108" s="65"/>
      <c r="AT108" s="65"/>
      <c r="AU108" s="65"/>
      <c r="AV108" s="65"/>
      <c r="AW108" s="65"/>
      <c r="AX108" s="65"/>
      <c r="AY108" s="65"/>
      <c r="AZ108" s="65"/>
      <c r="BA108" s="65"/>
      <c r="BB108" s="65"/>
      <c r="BC108" s="65"/>
      <c r="BD108" s="65"/>
      <c r="BE108" s="65"/>
      <c r="BF108" s="65"/>
      <c r="BG108" s="65"/>
      <c r="BH108" s="65"/>
      <c r="BI108" s="65"/>
      <c r="BJ108" s="65"/>
      <c r="BK108" s="65"/>
      <c r="BL108" s="65"/>
      <c r="BM108" s="60">
        <f t="shared" si="1"/>
        <v>0</v>
      </c>
      <c r="BN108" s="60" t="s">
        <v>1396</v>
      </c>
      <c r="BO108" s="57"/>
    </row>
    <row r="109">
      <c r="A109" s="56" t="s">
        <v>1540</v>
      </c>
      <c r="C109" s="98"/>
      <c r="D109" s="98"/>
      <c r="E109" s="98"/>
      <c r="F109" s="57"/>
      <c r="G109" s="57"/>
      <c r="H109" s="57"/>
      <c r="I109" s="57"/>
      <c r="J109" s="57"/>
      <c r="K109" s="57"/>
      <c r="L109" s="57"/>
      <c r="M109" s="57"/>
      <c r="N109" s="57"/>
      <c r="O109" s="57"/>
      <c r="P109" s="57"/>
      <c r="Q109" s="57"/>
      <c r="R109" s="57"/>
      <c r="S109" s="57"/>
      <c r="T109" s="57"/>
      <c r="U109" s="57"/>
      <c r="V109" s="57"/>
      <c r="W109" s="57"/>
      <c r="X109" s="57"/>
      <c r="Y109" s="65"/>
      <c r="Z109" s="65"/>
      <c r="AA109" s="65"/>
      <c r="AB109" s="65"/>
      <c r="AC109" s="65"/>
      <c r="AD109" s="65"/>
      <c r="AE109" s="65"/>
      <c r="AF109" s="65"/>
      <c r="AG109" s="65"/>
      <c r="AH109" s="65"/>
      <c r="AI109" s="65"/>
      <c r="AJ109" s="65"/>
      <c r="AK109" s="65"/>
      <c r="AL109" s="65"/>
      <c r="AM109" s="65"/>
      <c r="AN109" s="65"/>
      <c r="AO109" s="65"/>
      <c r="AP109" s="65"/>
      <c r="AQ109" s="65"/>
      <c r="AR109" s="65"/>
      <c r="AS109" s="65"/>
      <c r="AT109" s="65"/>
      <c r="AU109" s="65"/>
      <c r="AV109" s="65"/>
      <c r="AW109" s="65"/>
      <c r="AX109" s="65"/>
      <c r="AY109" s="65"/>
      <c r="AZ109" s="65"/>
      <c r="BA109" s="65"/>
      <c r="BB109" s="65"/>
      <c r="BC109" s="65"/>
      <c r="BD109" s="65"/>
      <c r="BE109" s="65"/>
      <c r="BF109" s="65"/>
      <c r="BG109" s="65"/>
      <c r="BH109" s="65"/>
      <c r="BI109" s="65"/>
      <c r="BJ109" s="65"/>
      <c r="BK109" s="65"/>
      <c r="BL109" s="65"/>
      <c r="BM109" s="65"/>
      <c r="BN109" s="65"/>
      <c r="BO109" s="57"/>
    </row>
    <row r="110">
      <c r="A110" s="56" t="s">
        <v>1541</v>
      </c>
      <c r="C110" s="98"/>
      <c r="D110" s="98"/>
      <c r="E110" s="98"/>
      <c r="F110" s="57"/>
      <c r="G110" s="57"/>
      <c r="H110" s="57"/>
      <c r="I110" s="57"/>
      <c r="J110" s="57"/>
      <c r="K110" s="57"/>
      <c r="L110" s="57"/>
      <c r="M110" s="57"/>
      <c r="N110" s="57"/>
      <c r="O110" s="57"/>
      <c r="P110" s="57"/>
      <c r="Q110" s="57"/>
      <c r="R110" s="57"/>
      <c r="S110" s="57"/>
      <c r="T110" s="57"/>
      <c r="U110" s="57"/>
      <c r="V110" s="57"/>
      <c r="W110" s="57"/>
      <c r="X110" s="57"/>
      <c r="Y110" s="65"/>
      <c r="Z110" s="65"/>
      <c r="AA110" s="65"/>
      <c r="AB110" s="65"/>
      <c r="AC110" s="65"/>
      <c r="AD110" s="65"/>
      <c r="AE110" s="65"/>
      <c r="AF110" s="65"/>
      <c r="AG110" s="65"/>
      <c r="AH110" s="65"/>
      <c r="AI110" s="65"/>
      <c r="AJ110" s="65"/>
      <c r="AK110" s="65"/>
      <c r="AL110" s="65"/>
      <c r="AM110" s="65"/>
      <c r="AN110" s="65"/>
      <c r="AO110" s="65"/>
      <c r="AP110" s="65"/>
      <c r="AQ110" s="65"/>
      <c r="AR110" s="65"/>
      <c r="AS110" s="65"/>
      <c r="AT110" s="65"/>
      <c r="AU110" s="65"/>
      <c r="AV110" s="65"/>
      <c r="AW110" s="65"/>
      <c r="AX110" s="65"/>
      <c r="AY110" s="65"/>
      <c r="AZ110" s="65"/>
      <c r="BA110" s="65"/>
      <c r="BB110" s="65"/>
      <c r="BC110" s="65"/>
      <c r="BD110" s="65"/>
      <c r="BE110" s="65"/>
      <c r="BF110" s="65"/>
      <c r="BG110" s="65"/>
      <c r="BH110" s="65"/>
      <c r="BI110" s="65"/>
      <c r="BJ110" s="65"/>
      <c r="BK110" s="65"/>
      <c r="BL110" s="65"/>
      <c r="BM110" s="65"/>
      <c r="BN110" s="65"/>
      <c r="BO110" s="57"/>
    </row>
    <row r="111">
      <c r="A111" s="56" t="s">
        <v>1542</v>
      </c>
      <c r="C111" s="98"/>
      <c r="D111" s="98"/>
      <c r="E111" s="98"/>
      <c r="F111" s="57"/>
      <c r="G111" s="57"/>
      <c r="H111" s="57"/>
      <c r="I111" s="57"/>
      <c r="J111" s="57"/>
      <c r="K111" s="57"/>
      <c r="L111" s="57"/>
      <c r="M111" s="57"/>
      <c r="N111" s="57"/>
      <c r="O111" s="57"/>
      <c r="P111" s="57"/>
      <c r="Q111" s="57"/>
      <c r="R111" s="57"/>
      <c r="S111" s="57"/>
      <c r="T111" s="57"/>
      <c r="U111" s="57"/>
      <c r="V111" s="57"/>
      <c r="W111" s="57"/>
      <c r="X111" s="57"/>
      <c r="Y111" s="65"/>
      <c r="Z111" s="65"/>
      <c r="AA111" s="65"/>
      <c r="AB111" s="65"/>
      <c r="AC111" s="65"/>
      <c r="AD111" s="65"/>
      <c r="AE111" s="65"/>
      <c r="AF111" s="65"/>
      <c r="AG111" s="65"/>
      <c r="AH111" s="65"/>
      <c r="AI111" s="65"/>
      <c r="AJ111" s="65"/>
      <c r="AK111" s="65"/>
      <c r="AL111" s="65"/>
      <c r="AM111" s="65"/>
      <c r="AN111" s="65"/>
      <c r="AO111" s="65"/>
      <c r="AP111" s="65"/>
      <c r="AQ111" s="65"/>
      <c r="AR111" s="65"/>
      <c r="AS111" s="65"/>
      <c r="AT111" s="65"/>
      <c r="AU111" s="65"/>
      <c r="AV111" s="65"/>
      <c r="AW111" s="65"/>
      <c r="AX111" s="65"/>
      <c r="AY111" s="65"/>
      <c r="AZ111" s="65"/>
      <c r="BA111" s="65"/>
      <c r="BB111" s="65"/>
      <c r="BC111" s="65"/>
      <c r="BD111" s="65"/>
      <c r="BE111" s="65"/>
      <c r="BF111" s="65"/>
      <c r="BG111" s="65"/>
      <c r="BH111" s="65"/>
      <c r="BI111" s="65"/>
      <c r="BJ111" s="65"/>
      <c r="BK111" s="65"/>
      <c r="BL111" s="65"/>
      <c r="BM111" s="65"/>
      <c r="BN111" s="65"/>
      <c r="BO111" s="57"/>
    </row>
    <row r="112">
      <c r="A112" s="56" t="s">
        <v>1543</v>
      </c>
      <c r="C112" s="98"/>
      <c r="D112" s="98"/>
      <c r="E112" s="98"/>
      <c r="F112" s="57"/>
      <c r="G112" s="57"/>
      <c r="H112" s="57"/>
      <c r="I112" s="57"/>
      <c r="J112" s="57"/>
      <c r="K112" s="57"/>
      <c r="L112" s="57"/>
      <c r="M112" s="57"/>
      <c r="N112" s="57"/>
      <c r="O112" s="57"/>
      <c r="P112" s="57"/>
      <c r="Q112" s="57"/>
      <c r="R112" s="57"/>
      <c r="S112" s="57"/>
      <c r="T112" s="57"/>
      <c r="U112" s="57"/>
      <c r="V112" s="57"/>
      <c r="W112" s="57"/>
      <c r="X112" s="57"/>
      <c r="Y112" s="65"/>
      <c r="Z112" s="65"/>
      <c r="AA112" s="65"/>
      <c r="AB112" s="65"/>
      <c r="AC112" s="65"/>
      <c r="AD112" s="65"/>
      <c r="AE112" s="65"/>
      <c r="AF112" s="65"/>
      <c r="AG112" s="65"/>
      <c r="AH112" s="65"/>
      <c r="AI112" s="65"/>
      <c r="AJ112" s="65"/>
      <c r="AK112" s="65"/>
      <c r="AL112" s="65"/>
      <c r="AM112" s="65"/>
      <c r="AN112" s="65"/>
      <c r="AO112" s="65"/>
      <c r="AP112" s="65"/>
      <c r="AQ112" s="65"/>
      <c r="AR112" s="65"/>
      <c r="AS112" s="65"/>
      <c r="AT112" s="65"/>
      <c r="AU112" s="65"/>
      <c r="AV112" s="65"/>
      <c r="AW112" s="65"/>
      <c r="AX112" s="65"/>
      <c r="AY112" s="65"/>
      <c r="AZ112" s="65"/>
      <c r="BA112" s="65"/>
      <c r="BB112" s="65"/>
      <c r="BC112" s="65"/>
      <c r="BD112" s="65"/>
      <c r="BE112" s="65"/>
      <c r="BF112" s="65"/>
      <c r="BG112" s="65"/>
      <c r="BH112" s="65"/>
      <c r="BI112" s="65"/>
      <c r="BJ112" s="65"/>
      <c r="BK112" s="65"/>
      <c r="BL112" s="65"/>
      <c r="BM112" s="65"/>
      <c r="BN112" s="65"/>
      <c r="BO112" s="57"/>
    </row>
    <row r="113">
      <c r="A113" s="56" t="s">
        <v>1544</v>
      </c>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row>
    <row r="114">
      <c r="A114" s="56" t="s">
        <v>1545</v>
      </c>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row>
    <row r="115">
      <c r="A115" s="56" t="s">
        <v>1546</v>
      </c>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row>
  </sheetData>
  <mergeCells count="8">
    <mergeCell ref="C2:R2"/>
    <mergeCell ref="S2:Z2"/>
    <mergeCell ref="AA2:AK2"/>
    <mergeCell ref="AL2:AX2"/>
    <mergeCell ref="AY2:BJ2"/>
    <mergeCell ref="BK2:BL2"/>
    <mergeCell ref="BM2:BM3"/>
    <mergeCell ref="BN2:BN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21.57"/>
    <col customWidth="1" min="5" max="6" width="21.57"/>
    <col customWidth="1" min="7" max="7" width="38.71"/>
    <col customWidth="1" min="8" max="8" width="21.57"/>
    <col customWidth="1" min="10" max="11" width="21.57"/>
  </cols>
  <sheetData>
    <row r="1">
      <c r="A1" s="7" t="s">
        <v>1547</v>
      </c>
    </row>
    <row r="2">
      <c r="A2" s="7" t="s">
        <v>1548</v>
      </c>
    </row>
    <row r="3">
      <c r="A3" s="99" t="s">
        <v>1549</v>
      </c>
      <c r="E3" s="99" t="s">
        <v>1550</v>
      </c>
      <c r="J3" s="99" t="s">
        <v>1551</v>
      </c>
    </row>
    <row r="4">
      <c r="A4" s="100" t="s">
        <v>1552</v>
      </c>
      <c r="B4" s="100" t="s">
        <v>38</v>
      </c>
      <c r="C4" s="100" t="s">
        <v>39</v>
      </c>
      <c r="E4" s="100" t="s">
        <v>1552</v>
      </c>
      <c r="F4" s="100" t="s">
        <v>24</v>
      </c>
      <c r="G4" s="100" t="s">
        <v>1553</v>
      </c>
      <c r="H4" s="100" t="s">
        <v>1554</v>
      </c>
      <c r="J4" s="100" t="s">
        <v>1552</v>
      </c>
      <c r="K4" s="100" t="s">
        <v>35</v>
      </c>
      <c r="L4" s="7"/>
    </row>
    <row r="5">
      <c r="A5" s="101" t="s">
        <v>538</v>
      </c>
      <c r="B5" s="101">
        <v>67.0</v>
      </c>
      <c r="C5" s="102"/>
      <c r="E5" s="101" t="s">
        <v>303</v>
      </c>
      <c r="F5" s="102"/>
      <c r="G5" s="102"/>
      <c r="H5" s="101">
        <v>110.0</v>
      </c>
      <c r="I5" s="7"/>
      <c r="J5" s="102" t="s">
        <v>408</v>
      </c>
      <c r="K5" s="101">
        <v>16.0</v>
      </c>
    </row>
    <row r="6">
      <c r="A6" s="101" t="s">
        <v>652</v>
      </c>
      <c r="B6" s="101">
        <v>67.0</v>
      </c>
      <c r="C6" s="102"/>
      <c r="E6" s="101" t="s">
        <v>1555</v>
      </c>
      <c r="F6" s="103">
        <v>30.0</v>
      </c>
      <c r="G6" s="102"/>
      <c r="H6" s="102"/>
      <c r="I6" s="7"/>
      <c r="J6" s="102" t="s">
        <v>222</v>
      </c>
      <c r="K6" s="102">
        <v>28.0</v>
      </c>
    </row>
    <row r="7">
      <c r="A7" s="101" t="s">
        <v>509</v>
      </c>
      <c r="B7" s="101">
        <v>110.0</v>
      </c>
      <c r="C7" s="102"/>
      <c r="E7" s="101" t="s">
        <v>408</v>
      </c>
      <c r="F7" s="101">
        <v>41.0</v>
      </c>
      <c r="G7" s="102"/>
      <c r="H7" s="101">
        <v>82.0</v>
      </c>
      <c r="I7" s="7"/>
      <c r="J7" s="102" t="s">
        <v>278</v>
      </c>
      <c r="K7" s="102">
        <v>34.0</v>
      </c>
    </row>
    <row r="8">
      <c r="A8" s="101" t="s">
        <v>324</v>
      </c>
      <c r="B8" s="101">
        <v>167.0</v>
      </c>
      <c r="C8" s="102"/>
      <c r="E8" s="104" t="s">
        <v>400</v>
      </c>
      <c r="F8" s="104">
        <v>44.0</v>
      </c>
      <c r="G8" s="102"/>
      <c r="H8" s="102"/>
      <c r="I8" s="7"/>
      <c r="J8" s="101" t="s">
        <v>400</v>
      </c>
      <c r="K8" s="101">
        <v>36.0</v>
      </c>
    </row>
    <row r="9">
      <c r="A9" s="101" t="s">
        <v>614</v>
      </c>
      <c r="B9" s="101">
        <v>179.0</v>
      </c>
      <c r="C9" s="102"/>
      <c r="E9" s="103" t="s">
        <v>278</v>
      </c>
      <c r="F9" s="103">
        <v>45.0</v>
      </c>
      <c r="G9" s="102"/>
      <c r="H9" s="102"/>
      <c r="I9" s="7"/>
      <c r="J9" s="101" t="s">
        <v>407</v>
      </c>
      <c r="K9" s="101">
        <v>39.0</v>
      </c>
    </row>
    <row r="10">
      <c r="A10" s="101" t="s">
        <v>1556</v>
      </c>
      <c r="B10" s="101">
        <v>190.0</v>
      </c>
      <c r="C10" s="102"/>
      <c r="E10" s="104" t="s">
        <v>411</v>
      </c>
      <c r="F10" s="101">
        <v>52.0</v>
      </c>
      <c r="G10" s="102"/>
      <c r="H10" s="104"/>
      <c r="I10" s="7"/>
      <c r="J10" s="101" t="s">
        <v>509</v>
      </c>
      <c r="K10" s="101">
        <v>39.0</v>
      </c>
    </row>
    <row r="11">
      <c r="A11" s="101" t="s">
        <v>152</v>
      </c>
      <c r="B11" s="101">
        <v>190.0</v>
      </c>
      <c r="C11" s="102"/>
      <c r="E11" s="101" t="s">
        <v>1557</v>
      </c>
      <c r="F11" s="101">
        <v>59.0</v>
      </c>
      <c r="G11" s="102"/>
      <c r="H11" s="103"/>
      <c r="I11" s="7"/>
      <c r="J11" s="101" t="s">
        <v>411</v>
      </c>
      <c r="K11" s="101">
        <v>40.0</v>
      </c>
    </row>
    <row r="12">
      <c r="A12" s="101" t="s">
        <v>221</v>
      </c>
      <c r="B12" s="101">
        <v>190.0</v>
      </c>
      <c r="C12" s="102"/>
      <c r="E12" s="102" t="s">
        <v>538</v>
      </c>
      <c r="F12" s="103">
        <v>67.0</v>
      </c>
      <c r="G12" s="102"/>
      <c r="H12" s="103"/>
      <c r="I12" s="7"/>
      <c r="J12" s="101" t="s">
        <v>614</v>
      </c>
      <c r="K12" s="104">
        <v>44.0</v>
      </c>
    </row>
    <row r="13">
      <c r="A13" s="101" t="s">
        <v>284</v>
      </c>
      <c r="B13" s="101">
        <v>190.0</v>
      </c>
      <c r="C13" s="102"/>
      <c r="E13" s="104" t="s">
        <v>652</v>
      </c>
      <c r="F13" s="102">
        <v>67.0</v>
      </c>
      <c r="G13" s="102"/>
      <c r="H13" s="102"/>
      <c r="I13" s="7"/>
      <c r="J13" s="101" t="s">
        <v>226</v>
      </c>
      <c r="K13" s="101">
        <v>44.0</v>
      </c>
    </row>
    <row r="14">
      <c r="A14" s="101" t="s">
        <v>319</v>
      </c>
      <c r="B14" s="101">
        <v>191.0</v>
      </c>
      <c r="C14" s="102"/>
      <c r="E14" s="101" t="s">
        <v>407</v>
      </c>
      <c r="F14" s="101">
        <v>67.0</v>
      </c>
      <c r="G14" s="102"/>
      <c r="H14" s="102"/>
      <c r="I14" s="7"/>
      <c r="J14" s="101" t="s">
        <v>1558</v>
      </c>
      <c r="K14" s="104">
        <v>45.0</v>
      </c>
    </row>
    <row r="15">
      <c r="A15" s="101" t="s">
        <v>318</v>
      </c>
      <c r="B15" s="101">
        <v>216.0</v>
      </c>
      <c r="C15" s="102"/>
      <c r="E15" s="101" t="s">
        <v>509</v>
      </c>
      <c r="F15" s="103">
        <v>67.0</v>
      </c>
      <c r="G15" s="102"/>
      <c r="H15" s="102"/>
      <c r="I15" s="7"/>
      <c r="J15" s="101" t="s">
        <v>192</v>
      </c>
      <c r="K15" s="103">
        <v>46.0</v>
      </c>
    </row>
    <row r="16">
      <c r="A16" s="101" t="s">
        <v>232</v>
      </c>
      <c r="B16" s="101">
        <v>216.0</v>
      </c>
      <c r="C16" s="102"/>
      <c r="E16" s="102" t="s">
        <v>222</v>
      </c>
      <c r="F16" s="102">
        <v>70.0</v>
      </c>
      <c r="G16" s="102"/>
      <c r="H16" s="101">
        <v>70.0</v>
      </c>
      <c r="I16" s="7"/>
      <c r="J16" s="101" t="s">
        <v>1557</v>
      </c>
      <c r="K16" s="101">
        <v>49.0</v>
      </c>
    </row>
    <row r="17">
      <c r="A17" s="101" t="s">
        <v>192</v>
      </c>
      <c r="B17" s="101">
        <v>216.0</v>
      </c>
      <c r="C17" s="102"/>
      <c r="E17" s="104" t="s">
        <v>614</v>
      </c>
      <c r="F17" s="104">
        <v>75.0</v>
      </c>
      <c r="G17" s="102"/>
      <c r="H17" s="101"/>
      <c r="I17" s="7"/>
      <c r="J17" s="101" t="s">
        <v>652</v>
      </c>
      <c r="K17" s="101">
        <v>51.0</v>
      </c>
    </row>
    <row r="18">
      <c r="A18" s="101" t="s">
        <v>1559</v>
      </c>
      <c r="B18" s="101">
        <v>252.0</v>
      </c>
      <c r="C18" s="102"/>
      <c r="E18" s="101" t="s">
        <v>226</v>
      </c>
      <c r="F18" s="101">
        <v>75.0</v>
      </c>
      <c r="G18" s="102"/>
      <c r="H18" s="101"/>
      <c r="I18" s="7"/>
      <c r="J18" s="103" t="s">
        <v>538</v>
      </c>
      <c r="K18" s="103">
        <v>67.0</v>
      </c>
    </row>
    <row r="19">
      <c r="A19" s="101" t="s">
        <v>332</v>
      </c>
      <c r="B19" s="101">
        <v>252.0</v>
      </c>
      <c r="C19" s="102"/>
      <c r="E19" s="101" t="s">
        <v>284</v>
      </c>
      <c r="F19" s="101">
        <v>82.0</v>
      </c>
      <c r="G19" s="102"/>
      <c r="H19" s="104"/>
      <c r="I19" s="7"/>
      <c r="J19" s="101" t="s">
        <v>1560</v>
      </c>
      <c r="K19" s="101">
        <v>70.0</v>
      </c>
    </row>
    <row r="20">
      <c r="A20" s="101" t="s">
        <v>1561</v>
      </c>
      <c r="B20" s="101">
        <v>67.0</v>
      </c>
      <c r="C20" s="101">
        <v>199.0</v>
      </c>
      <c r="E20" s="101" t="s">
        <v>1556</v>
      </c>
      <c r="F20" s="101">
        <v>84.0</v>
      </c>
      <c r="G20" s="102"/>
      <c r="H20" s="104"/>
      <c r="I20" s="7"/>
      <c r="J20" s="101" t="s">
        <v>317</v>
      </c>
      <c r="K20" s="101">
        <v>73.0</v>
      </c>
    </row>
    <row r="21">
      <c r="A21" s="101" t="s">
        <v>1562</v>
      </c>
      <c r="B21" s="101">
        <v>275.0</v>
      </c>
      <c r="C21" s="102"/>
      <c r="E21" s="104" t="s">
        <v>277</v>
      </c>
      <c r="F21" s="104">
        <v>86.0</v>
      </c>
      <c r="G21" s="102"/>
      <c r="H21" s="102"/>
      <c r="I21" s="7"/>
      <c r="J21" s="103" t="s">
        <v>1559</v>
      </c>
      <c r="K21" s="101">
        <v>74.0</v>
      </c>
    </row>
    <row r="22">
      <c r="A22" s="101" t="s">
        <v>123</v>
      </c>
      <c r="B22" s="101">
        <v>275.0</v>
      </c>
      <c r="C22" s="103"/>
      <c r="E22" s="103" t="s">
        <v>1559</v>
      </c>
      <c r="F22" s="101">
        <v>89.0</v>
      </c>
      <c r="G22" s="102"/>
      <c r="H22" s="102"/>
      <c r="I22" s="7"/>
      <c r="J22" s="103" t="s">
        <v>1555</v>
      </c>
      <c r="K22" s="103">
        <v>75.0</v>
      </c>
    </row>
    <row r="23">
      <c r="A23" s="101" t="s">
        <v>411</v>
      </c>
      <c r="B23" s="101">
        <v>299.0</v>
      </c>
      <c r="C23" s="104"/>
      <c r="E23" s="102" t="s">
        <v>1561</v>
      </c>
      <c r="F23" s="104">
        <v>90.0</v>
      </c>
      <c r="G23" s="102"/>
      <c r="H23" s="102"/>
      <c r="I23" s="7"/>
      <c r="J23" s="101" t="s">
        <v>288</v>
      </c>
      <c r="K23" s="101">
        <v>75.0</v>
      </c>
    </row>
    <row r="24">
      <c r="A24" s="101" t="s">
        <v>1558</v>
      </c>
      <c r="B24" s="101">
        <v>440.0</v>
      </c>
      <c r="C24" s="102"/>
      <c r="E24" s="101" t="s">
        <v>221</v>
      </c>
      <c r="F24" s="101">
        <v>91.0</v>
      </c>
      <c r="G24" s="102"/>
      <c r="H24" s="102"/>
      <c r="I24" s="7"/>
      <c r="J24" s="104" t="s">
        <v>287</v>
      </c>
      <c r="K24" s="104">
        <v>75.0</v>
      </c>
    </row>
    <row r="25">
      <c r="A25" s="101" t="s">
        <v>1560</v>
      </c>
      <c r="B25" s="101">
        <v>440.0</v>
      </c>
      <c r="C25" s="102"/>
      <c r="E25" s="101" t="s">
        <v>319</v>
      </c>
      <c r="F25" s="101">
        <v>91.0</v>
      </c>
      <c r="G25" s="102"/>
      <c r="H25" s="102"/>
      <c r="I25" s="7"/>
      <c r="J25" s="101" t="s">
        <v>277</v>
      </c>
      <c r="K25" s="101">
        <v>78.0</v>
      </c>
    </row>
    <row r="26">
      <c r="A26" s="101" t="s">
        <v>303</v>
      </c>
      <c r="B26" s="101">
        <v>440.0</v>
      </c>
      <c r="C26" s="102"/>
      <c r="E26" s="101" t="s">
        <v>1558</v>
      </c>
      <c r="F26" s="101">
        <v>96.0</v>
      </c>
      <c r="G26" s="102"/>
      <c r="H26" s="102"/>
      <c r="I26" s="7"/>
      <c r="J26" s="101" t="s">
        <v>410</v>
      </c>
      <c r="K26" s="101">
        <v>80.0</v>
      </c>
    </row>
    <row r="27">
      <c r="A27" s="101" t="s">
        <v>327</v>
      </c>
      <c r="B27" s="101">
        <v>440.0</v>
      </c>
      <c r="C27" s="102"/>
      <c r="E27" s="101" t="s">
        <v>324</v>
      </c>
      <c r="F27" s="101">
        <v>99.0</v>
      </c>
      <c r="G27" s="102"/>
      <c r="H27" s="102"/>
      <c r="I27" s="7"/>
      <c r="J27" s="101" t="s">
        <v>395</v>
      </c>
      <c r="K27" s="101">
        <v>82.0</v>
      </c>
    </row>
    <row r="28">
      <c r="A28" s="101" t="s">
        <v>200</v>
      </c>
      <c r="B28" s="101">
        <v>510.0</v>
      </c>
      <c r="C28" s="102"/>
      <c r="E28" s="101" t="s">
        <v>232</v>
      </c>
      <c r="F28" s="101">
        <v>100.0</v>
      </c>
      <c r="G28" s="102"/>
      <c r="H28" s="102"/>
      <c r="I28" s="7"/>
      <c r="J28" s="103" t="s">
        <v>1556</v>
      </c>
      <c r="K28" s="103">
        <v>84.0</v>
      </c>
    </row>
    <row r="29">
      <c r="A29" s="101" t="s">
        <v>400</v>
      </c>
      <c r="B29" s="101">
        <v>520.0</v>
      </c>
      <c r="C29" s="102"/>
      <c r="E29" s="101" t="s">
        <v>1563</v>
      </c>
      <c r="F29" s="101">
        <v>100.0</v>
      </c>
      <c r="G29" s="102"/>
      <c r="H29" s="102"/>
      <c r="I29" s="7"/>
      <c r="J29" s="101" t="s">
        <v>394</v>
      </c>
      <c r="K29" s="103">
        <v>84.0</v>
      </c>
    </row>
    <row r="30">
      <c r="A30" s="101" t="s">
        <v>146</v>
      </c>
      <c r="B30" s="101">
        <v>555.0</v>
      </c>
      <c r="C30" s="102"/>
      <c r="E30" s="101" t="s">
        <v>410</v>
      </c>
      <c r="F30" s="101">
        <v>105.0</v>
      </c>
      <c r="G30" s="102"/>
      <c r="H30" s="102"/>
      <c r="I30" s="7"/>
      <c r="J30" s="101" t="s">
        <v>332</v>
      </c>
      <c r="K30" s="101">
        <v>85.0</v>
      </c>
    </row>
    <row r="31">
      <c r="A31" s="101" t="s">
        <v>399</v>
      </c>
      <c r="B31" s="101">
        <v>560.0</v>
      </c>
      <c r="C31" s="102"/>
      <c r="E31" s="101" t="s">
        <v>394</v>
      </c>
      <c r="F31" s="101">
        <v>110.0</v>
      </c>
      <c r="G31" s="102"/>
      <c r="H31" s="102"/>
      <c r="I31" s="7"/>
      <c r="J31" s="101" t="s">
        <v>130</v>
      </c>
      <c r="K31" s="101">
        <v>88.0</v>
      </c>
    </row>
    <row r="32">
      <c r="A32" s="101" t="s">
        <v>226</v>
      </c>
      <c r="B32" s="101">
        <v>569.0</v>
      </c>
      <c r="C32" s="102"/>
      <c r="E32" s="101" t="s">
        <v>318</v>
      </c>
      <c r="F32" s="101">
        <v>110.0</v>
      </c>
      <c r="G32" s="102"/>
      <c r="H32" s="102"/>
      <c r="I32" s="7"/>
      <c r="J32" s="101" t="s">
        <v>324</v>
      </c>
      <c r="K32" s="101">
        <v>90.0</v>
      </c>
    </row>
    <row r="33">
      <c r="A33" s="101" t="s">
        <v>289</v>
      </c>
      <c r="B33" s="101">
        <v>590.0</v>
      </c>
      <c r="C33" s="102"/>
      <c r="E33" s="101" t="s">
        <v>317</v>
      </c>
      <c r="F33" s="101">
        <v>110.0</v>
      </c>
      <c r="G33" s="102"/>
      <c r="H33" s="102"/>
      <c r="I33" s="7"/>
      <c r="J33" s="101" t="s">
        <v>1561</v>
      </c>
      <c r="K33" s="101">
        <v>90.0</v>
      </c>
    </row>
    <row r="34">
      <c r="A34" s="101" t="s">
        <v>410</v>
      </c>
      <c r="B34" s="101">
        <v>598.0</v>
      </c>
      <c r="C34" s="102"/>
      <c r="E34" s="101" t="s">
        <v>399</v>
      </c>
      <c r="F34" s="104">
        <v>110.0</v>
      </c>
      <c r="G34" s="102"/>
      <c r="H34" s="102"/>
      <c r="I34" s="7"/>
      <c r="J34" s="103" t="s">
        <v>326</v>
      </c>
      <c r="K34" s="103">
        <v>95.0</v>
      </c>
    </row>
    <row r="35">
      <c r="A35" s="101" t="s">
        <v>105</v>
      </c>
      <c r="B35" s="101">
        <v>598.0</v>
      </c>
      <c r="C35" s="102"/>
      <c r="E35" s="101" t="s">
        <v>327</v>
      </c>
      <c r="F35" s="101">
        <v>111.0</v>
      </c>
      <c r="G35" s="102"/>
      <c r="H35" s="102"/>
      <c r="I35" s="7"/>
      <c r="J35" s="101" t="s">
        <v>236</v>
      </c>
      <c r="K35" s="104">
        <v>97.0</v>
      </c>
    </row>
    <row r="36">
      <c r="A36" s="101" t="s">
        <v>177</v>
      </c>
      <c r="B36" s="101">
        <v>598.0</v>
      </c>
      <c r="C36" s="103"/>
      <c r="E36" s="101" t="s">
        <v>190</v>
      </c>
      <c r="F36" s="101">
        <v>111.0</v>
      </c>
      <c r="G36" s="102"/>
      <c r="H36" s="102"/>
      <c r="I36" s="7"/>
      <c r="J36" s="101" t="s">
        <v>318</v>
      </c>
      <c r="K36" s="101">
        <v>100.0</v>
      </c>
    </row>
    <row r="37">
      <c r="A37" s="101" t="s">
        <v>394</v>
      </c>
      <c r="B37" s="101">
        <v>440.0</v>
      </c>
      <c r="C37" s="104">
        <v>199.0</v>
      </c>
      <c r="E37" s="101" t="s">
        <v>395</v>
      </c>
      <c r="F37" s="101">
        <v>123.0</v>
      </c>
      <c r="G37" s="102"/>
      <c r="H37" s="102"/>
      <c r="I37" s="7"/>
      <c r="J37" s="101" t="s">
        <v>289</v>
      </c>
      <c r="K37" s="101">
        <v>100.0</v>
      </c>
    </row>
    <row r="38">
      <c r="A38" s="101" t="s">
        <v>1557</v>
      </c>
      <c r="B38" s="101">
        <v>695.0</v>
      </c>
      <c r="C38" s="102"/>
      <c r="E38" s="101" t="s">
        <v>1560</v>
      </c>
      <c r="F38" s="103">
        <v>133.0</v>
      </c>
      <c r="G38" s="102"/>
      <c r="H38" s="102"/>
      <c r="I38" s="7"/>
      <c r="J38" s="101" t="s">
        <v>327</v>
      </c>
      <c r="K38" s="104">
        <v>100.0</v>
      </c>
    </row>
    <row r="39">
      <c r="A39" s="101" t="s">
        <v>142</v>
      </c>
      <c r="B39" s="101">
        <v>695.0</v>
      </c>
      <c r="C39" s="102"/>
      <c r="E39" s="103" t="s">
        <v>130</v>
      </c>
      <c r="F39" s="103">
        <v>133.0</v>
      </c>
      <c r="G39" s="102"/>
      <c r="H39" s="102"/>
      <c r="I39" s="7"/>
      <c r="J39" s="101" t="s">
        <v>399</v>
      </c>
      <c r="K39" s="101">
        <v>100.0</v>
      </c>
    </row>
    <row r="40">
      <c r="A40" s="101" t="s">
        <v>256</v>
      </c>
      <c r="B40" s="101">
        <v>696.0</v>
      </c>
      <c r="C40" s="102"/>
      <c r="E40" s="103" t="s">
        <v>192</v>
      </c>
      <c r="F40" s="103">
        <v>140.0</v>
      </c>
      <c r="G40" s="102"/>
      <c r="H40" s="102"/>
      <c r="I40" s="7"/>
      <c r="J40" s="105" t="s">
        <v>190</v>
      </c>
      <c r="K40" s="105">
        <v>100.0</v>
      </c>
    </row>
    <row r="41">
      <c r="A41" s="101" t="s">
        <v>190</v>
      </c>
      <c r="B41" s="101">
        <v>696.0</v>
      </c>
      <c r="C41" s="102"/>
      <c r="E41" s="101" t="s">
        <v>200</v>
      </c>
      <c r="F41" s="101">
        <v>142.0</v>
      </c>
      <c r="G41" s="102"/>
      <c r="H41" s="102"/>
      <c r="I41" s="7"/>
      <c r="J41" s="106" t="s">
        <v>123</v>
      </c>
      <c r="K41" s="106">
        <v>102.0</v>
      </c>
    </row>
    <row r="42">
      <c r="A42" s="101" t="s">
        <v>401</v>
      </c>
      <c r="B42" s="101">
        <v>720.0</v>
      </c>
      <c r="C42" s="102"/>
      <c r="E42" s="104" t="s">
        <v>236</v>
      </c>
      <c r="F42" s="104">
        <v>146.0</v>
      </c>
      <c r="G42" s="102"/>
      <c r="H42" s="102"/>
      <c r="I42" s="7"/>
      <c r="J42" s="107" t="s">
        <v>274</v>
      </c>
      <c r="K42" s="107">
        <v>103.0</v>
      </c>
    </row>
    <row r="43">
      <c r="A43" s="101" t="s">
        <v>398</v>
      </c>
      <c r="B43" s="101">
        <v>742.0</v>
      </c>
      <c r="C43" s="102"/>
      <c r="E43" s="103" t="s">
        <v>146</v>
      </c>
      <c r="F43" s="103">
        <v>159.0</v>
      </c>
      <c r="G43" s="102"/>
      <c r="H43" s="102"/>
      <c r="I43" s="7"/>
      <c r="J43" s="106" t="s">
        <v>146</v>
      </c>
      <c r="K43" s="106">
        <v>113.0</v>
      </c>
    </row>
    <row r="44">
      <c r="A44" s="101" t="s">
        <v>856</v>
      </c>
      <c r="B44" s="101">
        <v>742.0</v>
      </c>
      <c r="C44" s="102"/>
      <c r="E44" s="101" t="s">
        <v>288</v>
      </c>
      <c r="F44" s="101">
        <v>159.0</v>
      </c>
      <c r="G44" s="102"/>
      <c r="H44" s="102"/>
      <c r="I44" s="7"/>
      <c r="J44" s="106" t="s">
        <v>370</v>
      </c>
      <c r="K44" s="106">
        <v>116.0</v>
      </c>
    </row>
    <row r="45">
      <c r="A45" s="101" t="s">
        <v>328</v>
      </c>
      <c r="B45" s="101">
        <v>750.0</v>
      </c>
      <c r="C45" s="102"/>
      <c r="E45" s="101" t="s">
        <v>287</v>
      </c>
      <c r="F45" s="101">
        <v>159.0</v>
      </c>
      <c r="G45" s="101">
        <v>159.0</v>
      </c>
      <c r="H45" s="102"/>
      <c r="I45" s="7"/>
      <c r="J45" s="106" t="s">
        <v>313</v>
      </c>
      <c r="K45" s="106">
        <v>120.0</v>
      </c>
    </row>
    <row r="46">
      <c r="A46" s="101" t="s">
        <v>388</v>
      </c>
      <c r="B46" s="101">
        <v>750.0</v>
      </c>
      <c r="C46" s="102"/>
      <c r="E46" s="101" t="s">
        <v>180</v>
      </c>
      <c r="F46" s="103">
        <v>160.0</v>
      </c>
      <c r="G46" s="104"/>
      <c r="H46" s="102"/>
      <c r="I46" s="7"/>
      <c r="J46" s="106" t="s">
        <v>276</v>
      </c>
      <c r="K46" s="106">
        <v>122.0</v>
      </c>
    </row>
    <row r="47">
      <c r="A47" s="101" t="s">
        <v>144</v>
      </c>
      <c r="B47" s="101">
        <v>756.0</v>
      </c>
      <c r="C47" s="102"/>
      <c r="E47" s="101" t="s">
        <v>328</v>
      </c>
      <c r="F47" s="102">
        <v>160.0</v>
      </c>
      <c r="G47" s="101">
        <v>320.0</v>
      </c>
      <c r="H47" s="102"/>
      <c r="I47" s="7"/>
      <c r="J47" s="106" t="s">
        <v>401</v>
      </c>
      <c r="K47" s="106">
        <v>123.0</v>
      </c>
    </row>
    <row r="48">
      <c r="A48" s="101" t="s">
        <v>288</v>
      </c>
      <c r="B48" s="101">
        <v>790.0</v>
      </c>
      <c r="C48" s="102"/>
      <c r="E48" s="101" t="s">
        <v>401</v>
      </c>
      <c r="F48" s="101">
        <v>160.0</v>
      </c>
      <c r="G48" s="102"/>
      <c r="H48" s="102"/>
      <c r="I48" s="7"/>
      <c r="J48" s="106" t="s">
        <v>200</v>
      </c>
      <c r="K48" s="106">
        <v>129.0</v>
      </c>
    </row>
    <row r="49">
      <c r="A49" s="101" t="s">
        <v>118</v>
      </c>
      <c r="B49" s="101">
        <v>853.0</v>
      </c>
      <c r="C49" s="102"/>
      <c r="E49" s="101" t="s">
        <v>97</v>
      </c>
      <c r="F49" s="101">
        <v>167.0</v>
      </c>
      <c r="G49" s="102"/>
      <c r="H49" s="102"/>
      <c r="I49" s="7"/>
      <c r="J49" s="105" t="s">
        <v>215</v>
      </c>
      <c r="K49" s="105">
        <v>130.0</v>
      </c>
    </row>
    <row r="50">
      <c r="A50" s="101" t="s">
        <v>408</v>
      </c>
      <c r="B50" s="101">
        <v>864.0</v>
      </c>
      <c r="C50" s="102"/>
      <c r="E50" s="101" t="s">
        <v>398</v>
      </c>
      <c r="F50" s="101">
        <v>176.0</v>
      </c>
      <c r="G50" s="102"/>
      <c r="H50" s="102"/>
      <c r="I50" s="7"/>
      <c r="J50" s="108" t="s">
        <v>180</v>
      </c>
      <c r="K50" s="108">
        <v>133.0</v>
      </c>
    </row>
    <row r="51">
      <c r="A51" s="101" t="s">
        <v>130</v>
      </c>
      <c r="B51" s="101">
        <v>957.0</v>
      </c>
      <c r="C51" s="102"/>
      <c r="E51" s="101" t="s">
        <v>856</v>
      </c>
      <c r="F51" s="101">
        <v>176.0</v>
      </c>
      <c r="G51" s="102"/>
      <c r="H51" s="104"/>
      <c r="I51" s="7"/>
      <c r="J51" s="101" t="s">
        <v>97</v>
      </c>
      <c r="K51" s="104">
        <v>139.0</v>
      </c>
    </row>
    <row r="52">
      <c r="A52" s="101" t="s">
        <v>222</v>
      </c>
      <c r="B52" s="101">
        <v>994.0</v>
      </c>
      <c r="C52" s="102"/>
      <c r="E52" s="104" t="s">
        <v>105</v>
      </c>
      <c r="F52" s="104">
        <v>181.0</v>
      </c>
      <c r="G52" s="102"/>
      <c r="H52" s="102"/>
      <c r="I52" s="7"/>
      <c r="J52" s="103" t="s">
        <v>107</v>
      </c>
      <c r="K52" s="103">
        <v>140.0</v>
      </c>
    </row>
    <row r="53">
      <c r="A53" s="101" t="s">
        <v>180</v>
      </c>
      <c r="B53" s="101">
        <v>1000.0</v>
      </c>
      <c r="C53" s="102"/>
      <c r="E53" s="103" t="s">
        <v>289</v>
      </c>
      <c r="F53" s="101">
        <v>182.0</v>
      </c>
      <c r="G53" s="102"/>
      <c r="H53" s="101">
        <v>159.0</v>
      </c>
      <c r="I53" s="7"/>
      <c r="J53" s="101" t="s">
        <v>232</v>
      </c>
      <c r="K53" s="101">
        <v>142.0</v>
      </c>
    </row>
    <row r="54">
      <c r="A54" s="101" t="s">
        <v>313</v>
      </c>
      <c r="B54" s="101">
        <v>1000.0</v>
      </c>
      <c r="C54" s="102"/>
      <c r="E54" s="101" t="s">
        <v>123</v>
      </c>
      <c r="F54" s="101">
        <v>184.0</v>
      </c>
      <c r="G54" s="103"/>
      <c r="H54" s="102"/>
      <c r="I54" s="7"/>
      <c r="J54" s="101" t="s">
        <v>129</v>
      </c>
      <c r="K54" s="101">
        <v>147.0</v>
      </c>
    </row>
    <row r="55">
      <c r="A55" s="101" t="s">
        <v>370</v>
      </c>
      <c r="B55" s="101">
        <v>1010.0</v>
      </c>
      <c r="C55" s="103"/>
      <c r="E55" s="101" t="s">
        <v>152</v>
      </c>
      <c r="F55" s="101">
        <v>188.0</v>
      </c>
      <c r="G55" s="103"/>
      <c r="H55" s="103"/>
      <c r="I55" s="7"/>
      <c r="J55" s="101" t="s">
        <v>178</v>
      </c>
      <c r="K55" s="101">
        <v>148.0</v>
      </c>
    </row>
    <row r="56">
      <c r="A56" s="101" t="s">
        <v>389</v>
      </c>
      <c r="B56" s="101">
        <v>1060.0</v>
      </c>
      <c r="C56" s="103"/>
      <c r="E56" s="103" t="s">
        <v>389</v>
      </c>
      <c r="F56" s="103">
        <v>200.0</v>
      </c>
      <c r="G56" s="102"/>
      <c r="H56" s="102"/>
      <c r="I56" s="7"/>
      <c r="J56" s="101" t="s">
        <v>209</v>
      </c>
      <c r="K56" s="101">
        <v>149.0</v>
      </c>
    </row>
    <row r="57">
      <c r="A57" s="101" t="s">
        <v>238</v>
      </c>
      <c r="B57" s="101">
        <v>1070.0</v>
      </c>
      <c r="C57" s="102"/>
      <c r="E57" s="104" t="s">
        <v>213</v>
      </c>
      <c r="F57" s="104">
        <v>206.0</v>
      </c>
      <c r="G57" s="104">
        <v>412.0</v>
      </c>
      <c r="H57" s="102"/>
      <c r="I57" s="7"/>
      <c r="J57" s="101" t="s">
        <v>213</v>
      </c>
      <c r="K57" s="101">
        <v>158.0</v>
      </c>
    </row>
    <row r="58">
      <c r="A58" s="101" t="s">
        <v>1564</v>
      </c>
      <c r="B58" s="101">
        <v>1110.0</v>
      </c>
      <c r="C58" s="102"/>
      <c r="E58" s="101" t="s">
        <v>361</v>
      </c>
      <c r="F58" s="101">
        <v>211.0</v>
      </c>
      <c r="G58" s="102"/>
      <c r="H58" s="102"/>
      <c r="I58" s="7"/>
      <c r="J58" s="101" t="s">
        <v>328</v>
      </c>
      <c r="K58" s="103">
        <v>160.0</v>
      </c>
    </row>
    <row r="59">
      <c r="A59" s="101" t="s">
        <v>102</v>
      </c>
      <c r="B59" s="101">
        <v>1129.0</v>
      </c>
      <c r="C59" s="102"/>
      <c r="E59" s="103" t="s">
        <v>107</v>
      </c>
      <c r="F59" s="103">
        <v>211.0</v>
      </c>
      <c r="G59" s="103"/>
      <c r="H59" s="102"/>
      <c r="I59" s="7"/>
      <c r="J59" s="101" t="s">
        <v>142</v>
      </c>
      <c r="K59" s="104">
        <v>161.0</v>
      </c>
    </row>
    <row r="60">
      <c r="A60" s="101" t="s">
        <v>361</v>
      </c>
      <c r="B60" s="101">
        <v>1196.0</v>
      </c>
      <c r="C60" s="102"/>
      <c r="E60" s="101" t="s">
        <v>313</v>
      </c>
      <c r="F60" s="101">
        <v>216.0</v>
      </c>
      <c r="G60" s="102"/>
      <c r="H60" s="102"/>
      <c r="I60" s="7"/>
      <c r="J60" s="104" t="s">
        <v>361</v>
      </c>
      <c r="K60" s="104">
        <v>162.0</v>
      </c>
    </row>
    <row r="61">
      <c r="A61" s="101" t="s">
        <v>300</v>
      </c>
      <c r="B61" s="101">
        <v>1200.0</v>
      </c>
      <c r="C61" s="103"/>
      <c r="E61" s="101" t="s">
        <v>144</v>
      </c>
      <c r="F61" s="101">
        <v>220.0</v>
      </c>
      <c r="G61" s="101">
        <v>440.0</v>
      </c>
      <c r="H61" s="102"/>
      <c r="I61" s="7"/>
      <c r="J61" s="101" t="s">
        <v>105</v>
      </c>
      <c r="K61" s="101">
        <v>164.0</v>
      </c>
    </row>
    <row r="62">
      <c r="A62" s="101" t="s">
        <v>213</v>
      </c>
      <c r="B62" s="101">
        <v>1030.0</v>
      </c>
      <c r="C62" s="104">
        <v>199.0</v>
      </c>
      <c r="E62" s="101" t="s">
        <v>276</v>
      </c>
      <c r="F62" s="101">
        <v>220.0</v>
      </c>
      <c r="G62" s="101">
        <v>440.0</v>
      </c>
      <c r="H62" s="102"/>
      <c r="I62" s="7"/>
      <c r="J62" s="101" t="s">
        <v>188</v>
      </c>
      <c r="K62" s="101">
        <v>165.0</v>
      </c>
    </row>
    <row r="63">
      <c r="A63" s="101" t="s">
        <v>97</v>
      </c>
      <c r="B63" s="101">
        <v>1380.0</v>
      </c>
      <c r="C63" s="104"/>
      <c r="E63" s="101" t="s">
        <v>129</v>
      </c>
      <c r="F63" s="101">
        <v>221.0</v>
      </c>
      <c r="G63" s="102"/>
      <c r="H63" s="104"/>
      <c r="I63" s="7"/>
      <c r="J63" s="101" t="s">
        <v>177</v>
      </c>
      <c r="K63" s="104">
        <v>167.0</v>
      </c>
    </row>
    <row r="64">
      <c r="A64" s="101" t="s">
        <v>203</v>
      </c>
      <c r="B64" s="101">
        <v>1396.0</v>
      </c>
      <c r="C64" s="104"/>
      <c r="E64" s="101" t="s">
        <v>178</v>
      </c>
      <c r="F64" s="101">
        <v>222.0</v>
      </c>
      <c r="G64" s="102"/>
      <c r="H64" s="101">
        <v>444.0</v>
      </c>
      <c r="I64" s="7"/>
      <c r="J64" s="101" t="s">
        <v>388</v>
      </c>
      <c r="K64" s="101">
        <v>173.0</v>
      </c>
    </row>
    <row r="65">
      <c r="A65" s="101" t="s">
        <v>188</v>
      </c>
      <c r="B65" s="101">
        <v>1408.0</v>
      </c>
      <c r="C65" s="102"/>
      <c r="E65" s="101" t="s">
        <v>215</v>
      </c>
      <c r="F65" s="101">
        <v>222.0</v>
      </c>
      <c r="G65" s="101">
        <v>444.0</v>
      </c>
      <c r="H65" s="101">
        <v>444.0</v>
      </c>
      <c r="I65" s="7"/>
      <c r="J65" s="101" t="s">
        <v>398</v>
      </c>
      <c r="K65" s="101">
        <v>176.0</v>
      </c>
    </row>
    <row r="66">
      <c r="A66" s="101" t="s">
        <v>395</v>
      </c>
      <c r="B66" s="101">
        <v>1425.0</v>
      </c>
      <c r="C66" s="102"/>
      <c r="E66" s="103" t="s">
        <v>177</v>
      </c>
      <c r="F66" s="101">
        <v>234.0</v>
      </c>
      <c r="G66" s="103"/>
      <c r="H66" s="103"/>
      <c r="I66" s="7"/>
      <c r="J66" s="101" t="s">
        <v>856</v>
      </c>
      <c r="K66" s="101">
        <v>195.0</v>
      </c>
    </row>
    <row r="67">
      <c r="A67" s="101" t="s">
        <v>276</v>
      </c>
      <c r="B67" s="101">
        <v>1461.0</v>
      </c>
      <c r="C67" s="102"/>
      <c r="E67" s="103" t="s">
        <v>326</v>
      </c>
      <c r="F67" s="103">
        <v>239.0</v>
      </c>
      <c r="G67" s="103"/>
      <c r="H67" s="103"/>
      <c r="I67" s="7"/>
      <c r="J67" s="101" t="s">
        <v>1564</v>
      </c>
      <c r="K67" s="101">
        <v>227.0</v>
      </c>
    </row>
    <row r="68">
      <c r="A68" s="101" t="s">
        <v>317</v>
      </c>
      <c r="B68" s="101">
        <v>1515.0</v>
      </c>
      <c r="C68" s="102"/>
      <c r="E68" s="104" t="s">
        <v>209</v>
      </c>
      <c r="F68" s="102">
        <v>254.0</v>
      </c>
      <c r="G68" s="103"/>
      <c r="H68" s="102"/>
      <c r="I68" s="7"/>
      <c r="J68" s="103" t="s">
        <v>214</v>
      </c>
      <c r="K68" s="101">
        <v>232.0</v>
      </c>
    </row>
    <row r="69">
      <c r="A69" s="101" t="s">
        <v>129</v>
      </c>
      <c r="B69" s="101">
        <v>1654.0</v>
      </c>
      <c r="C69" s="102"/>
      <c r="E69" s="103" t="s">
        <v>142</v>
      </c>
      <c r="F69" s="102">
        <v>258.0</v>
      </c>
      <c r="G69" s="102"/>
      <c r="H69" s="102"/>
      <c r="I69" s="7"/>
      <c r="J69" s="102" t="s">
        <v>1563</v>
      </c>
      <c r="K69" s="102">
        <v>250.0</v>
      </c>
    </row>
    <row r="70">
      <c r="A70" s="101" t="s">
        <v>214</v>
      </c>
      <c r="B70" s="101">
        <v>1669.0</v>
      </c>
      <c r="C70" s="102"/>
      <c r="E70" s="103" t="s">
        <v>274</v>
      </c>
      <c r="F70" s="103">
        <v>259.0</v>
      </c>
      <c r="G70" s="102"/>
      <c r="H70" s="101">
        <v>186.0</v>
      </c>
      <c r="I70" s="7"/>
      <c r="J70" s="101" t="s">
        <v>389</v>
      </c>
      <c r="K70" s="101">
        <v>250.0</v>
      </c>
    </row>
    <row r="71">
      <c r="A71" s="101" t="s">
        <v>326</v>
      </c>
      <c r="B71" s="101">
        <v>1729.0</v>
      </c>
      <c r="C71" s="102"/>
      <c r="E71" s="101" t="s">
        <v>388</v>
      </c>
      <c r="F71" s="101">
        <v>260.0</v>
      </c>
      <c r="G71" s="102"/>
      <c r="H71" s="103"/>
      <c r="I71" s="7"/>
      <c r="J71" s="101" t="s">
        <v>118</v>
      </c>
      <c r="K71" s="101">
        <v>253.0</v>
      </c>
    </row>
    <row r="72">
      <c r="A72" s="101" t="s">
        <v>209</v>
      </c>
      <c r="B72" s="101">
        <v>2544.0</v>
      </c>
      <c r="C72" s="102"/>
      <c r="E72" s="103" t="s">
        <v>188</v>
      </c>
      <c r="F72" s="103">
        <v>264.0</v>
      </c>
      <c r="G72" s="102"/>
      <c r="H72" s="102"/>
      <c r="I72" s="7"/>
      <c r="J72" s="108" t="s">
        <v>203</v>
      </c>
      <c r="K72" s="108">
        <v>266.0</v>
      </c>
    </row>
    <row r="73">
      <c r="A73" s="101" t="s">
        <v>236</v>
      </c>
      <c r="B73" s="101">
        <v>2616.0</v>
      </c>
      <c r="C73" s="102"/>
      <c r="E73" s="101" t="s">
        <v>332</v>
      </c>
      <c r="F73" s="101">
        <v>265.0</v>
      </c>
      <c r="G73" s="102"/>
      <c r="H73" s="102"/>
      <c r="I73" s="7"/>
      <c r="J73" s="106" t="s">
        <v>300</v>
      </c>
      <c r="K73" s="106">
        <v>275.0</v>
      </c>
    </row>
    <row r="74">
      <c r="A74" s="101" t="s">
        <v>178</v>
      </c>
      <c r="B74" s="101">
        <v>2793.0</v>
      </c>
      <c r="C74" s="102"/>
      <c r="E74" s="101" t="s">
        <v>118</v>
      </c>
      <c r="F74" s="101">
        <v>279.0</v>
      </c>
      <c r="G74" s="103"/>
      <c r="H74" s="102"/>
      <c r="I74" s="7"/>
      <c r="J74" s="105" t="s">
        <v>256</v>
      </c>
      <c r="K74" s="106">
        <v>310.0</v>
      </c>
    </row>
    <row r="75">
      <c r="A75" s="101" t="s">
        <v>179</v>
      </c>
      <c r="B75" s="101">
        <v>3125.0</v>
      </c>
      <c r="C75" s="102"/>
      <c r="E75" s="101" t="s">
        <v>370</v>
      </c>
      <c r="F75" s="101">
        <v>280.0</v>
      </c>
      <c r="G75" s="102"/>
      <c r="H75" s="102"/>
      <c r="I75" s="7"/>
      <c r="J75" s="102" t="s">
        <v>102</v>
      </c>
      <c r="K75" s="104">
        <v>351.0</v>
      </c>
    </row>
    <row r="76">
      <c r="A76" s="101" t="s">
        <v>278</v>
      </c>
      <c r="B76" s="101">
        <v>3150.0</v>
      </c>
      <c r="C76" s="102"/>
      <c r="E76" s="101" t="s">
        <v>1564</v>
      </c>
      <c r="F76" s="101">
        <v>318.0</v>
      </c>
      <c r="G76" s="102"/>
      <c r="H76" s="102"/>
      <c r="I76" s="7"/>
      <c r="J76" s="102" t="s">
        <v>179</v>
      </c>
      <c r="K76" s="102">
        <v>376.0</v>
      </c>
    </row>
    <row r="77">
      <c r="A77" s="101" t="s">
        <v>107</v>
      </c>
      <c r="B77" s="101">
        <v>3275.0</v>
      </c>
      <c r="C77" s="102"/>
      <c r="E77" s="101" t="s">
        <v>1562</v>
      </c>
      <c r="F77" s="103">
        <v>325.0</v>
      </c>
      <c r="G77" s="104"/>
      <c r="H77" s="102"/>
      <c r="I77" s="7"/>
      <c r="J77" s="101" t="s">
        <v>1565</v>
      </c>
      <c r="K77" s="101">
        <v>875.0</v>
      </c>
    </row>
    <row r="78">
      <c r="A78" s="101" t="s">
        <v>215</v>
      </c>
      <c r="B78" s="101">
        <v>3300.0</v>
      </c>
      <c r="C78" s="102"/>
      <c r="E78" s="102" t="s">
        <v>214</v>
      </c>
      <c r="F78" s="102">
        <v>325.0</v>
      </c>
      <c r="G78" s="104">
        <v>651.0</v>
      </c>
      <c r="H78" s="102"/>
      <c r="I78" s="7"/>
    </row>
    <row r="79">
      <c r="A79" s="101" t="s">
        <v>287</v>
      </c>
      <c r="B79" s="101">
        <v>3591.0</v>
      </c>
      <c r="C79" s="102"/>
      <c r="E79" s="104" t="s">
        <v>1565</v>
      </c>
      <c r="F79" s="104">
        <v>350.0</v>
      </c>
      <c r="G79" s="102"/>
      <c r="H79" s="102"/>
      <c r="I79" s="7"/>
    </row>
    <row r="80">
      <c r="A80" s="101" t="s">
        <v>274</v>
      </c>
      <c r="B80" s="101">
        <v>4256.0</v>
      </c>
      <c r="C80" s="102"/>
      <c r="D80" s="7"/>
      <c r="E80" s="102" t="s">
        <v>102</v>
      </c>
      <c r="F80" s="104">
        <v>598.0</v>
      </c>
      <c r="G80" s="102"/>
      <c r="H80" s="103"/>
      <c r="I80" s="7"/>
      <c r="J80" s="7"/>
    </row>
    <row r="81">
      <c r="D81" s="7"/>
      <c r="E81" s="103" t="s">
        <v>179</v>
      </c>
      <c r="F81" s="103">
        <v>678.0</v>
      </c>
      <c r="G81" s="102"/>
      <c r="H81" s="103"/>
      <c r="I81" s="7"/>
      <c r="J81" s="7"/>
    </row>
    <row r="82">
      <c r="A82" s="99"/>
      <c r="E82" s="104" t="s">
        <v>256</v>
      </c>
      <c r="F82" s="101">
        <v>700.0</v>
      </c>
      <c r="G82" s="102"/>
      <c r="H82" s="102"/>
      <c r="I82" s="7"/>
      <c r="J82" s="7"/>
    </row>
    <row r="83">
      <c r="A83" s="99"/>
      <c r="E83" s="102" t="s">
        <v>203</v>
      </c>
      <c r="F83" s="103">
        <v>798.0</v>
      </c>
      <c r="G83" s="102"/>
      <c r="H83" s="101">
        <v>199.0</v>
      </c>
      <c r="I83" s="7"/>
      <c r="J83" s="7"/>
    </row>
    <row r="84">
      <c r="A84" s="99"/>
      <c r="E84" s="101" t="s">
        <v>300</v>
      </c>
      <c r="F84" s="101">
        <v>1100.0</v>
      </c>
      <c r="G84" s="102"/>
      <c r="H84" s="104"/>
      <c r="J84" s="7"/>
    </row>
    <row r="85">
      <c r="A85" s="99"/>
      <c r="E85" s="99"/>
      <c r="J85" s="7"/>
    </row>
    <row r="86">
      <c r="A86" s="99" t="s">
        <v>1566</v>
      </c>
      <c r="E86" s="99" t="s">
        <v>1567</v>
      </c>
      <c r="J86" s="99" t="s">
        <v>1568</v>
      </c>
    </row>
    <row r="87">
      <c r="A87" s="100" t="s">
        <v>1569</v>
      </c>
      <c r="B87" s="100" t="s">
        <v>38</v>
      </c>
      <c r="C87" s="100" t="s">
        <v>39</v>
      </c>
      <c r="E87" s="100" t="s">
        <v>1569</v>
      </c>
      <c r="F87" s="109" t="s">
        <v>24</v>
      </c>
      <c r="G87" s="100" t="s">
        <v>1553</v>
      </c>
      <c r="H87" s="100" t="s">
        <v>1554</v>
      </c>
      <c r="J87" s="100" t="s">
        <v>1569</v>
      </c>
      <c r="K87" s="100" t="s">
        <v>35</v>
      </c>
    </row>
    <row r="88">
      <c r="A88" s="101" t="s">
        <v>126</v>
      </c>
      <c r="B88" s="101">
        <v>440.0</v>
      </c>
      <c r="C88" s="110"/>
      <c r="E88" s="101" t="s">
        <v>323</v>
      </c>
      <c r="F88" s="106"/>
      <c r="G88" s="108"/>
      <c r="H88" s="106">
        <v>67.0</v>
      </c>
      <c r="J88" s="102" t="s">
        <v>196</v>
      </c>
      <c r="K88" s="101">
        <v>44.0</v>
      </c>
    </row>
    <row r="89">
      <c r="A89" s="101" t="s">
        <v>136</v>
      </c>
      <c r="B89" s="101">
        <v>742.0</v>
      </c>
      <c r="C89" s="110"/>
      <c r="E89" s="111" t="s">
        <v>201</v>
      </c>
      <c r="F89" s="112">
        <v>34.0</v>
      </c>
      <c r="G89" s="113"/>
      <c r="H89" s="113"/>
      <c r="J89" s="102" t="s">
        <v>1570</v>
      </c>
      <c r="K89" s="101">
        <v>87.0</v>
      </c>
    </row>
    <row r="90">
      <c r="A90" s="101" t="s">
        <v>116</v>
      </c>
      <c r="B90" s="101">
        <v>800.0</v>
      </c>
      <c r="C90" s="110"/>
      <c r="E90" s="114" t="s">
        <v>1570</v>
      </c>
      <c r="F90" s="115">
        <v>35.0</v>
      </c>
      <c r="G90" s="116"/>
      <c r="H90" s="116"/>
      <c r="J90" s="101" t="s">
        <v>405</v>
      </c>
      <c r="K90" s="101">
        <v>90.0</v>
      </c>
    </row>
    <row r="91">
      <c r="A91" s="101" t="s">
        <v>253</v>
      </c>
      <c r="B91" s="101">
        <v>844.0</v>
      </c>
      <c r="C91" s="110"/>
      <c r="E91" s="114" t="s">
        <v>1571</v>
      </c>
      <c r="F91" s="117">
        <v>90.0</v>
      </c>
      <c r="G91" s="116"/>
      <c r="H91" s="116"/>
      <c r="J91" s="104" t="s">
        <v>1571</v>
      </c>
      <c r="K91" s="101">
        <v>112.0</v>
      </c>
    </row>
    <row r="92">
      <c r="A92" s="101" t="s">
        <v>230</v>
      </c>
      <c r="B92" s="101">
        <v>844.0</v>
      </c>
      <c r="C92" s="110"/>
      <c r="E92" s="114" t="s">
        <v>405</v>
      </c>
      <c r="F92" s="115">
        <v>90.0</v>
      </c>
      <c r="G92" s="116"/>
      <c r="H92" s="116"/>
      <c r="J92" s="101" t="s">
        <v>201</v>
      </c>
      <c r="K92" s="101">
        <v>113.0</v>
      </c>
    </row>
    <row r="93">
      <c r="A93" s="101" t="s">
        <v>320</v>
      </c>
      <c r="B93" s="101">
        <v>888.0</v>
      </c>
      <c r="C93" s="110"/>
      <c r="E93" s="118" t="s">
        <v>1572</v>
      </c>
      <c r="F93" s="115">
        <v>110.0</v>
      </c>
      <c r="G93" s="116"/>
      <c r="H93" s="116"/>
      <c r="J93" s="101" t="s">
        <v>306</v>
      </c>
      <c r="K93" s="101">
        <v>115.0</v>
      </c>
    </row>
    <row r="94">
      <c r="A94" s="101" t="s">
        <v>282</v>
      </c>
      <c r="B94" s="101">
        <v>954.0</v>
      </c>
      <c r="C94" s="110"/>
      <c r="E94" s="114" t="s">
        <v>1573</v>
      </c>
      <c r="F94" s="115">
        <v>132.0</v>
      </c>
      <c r="G94" s="116"/>
      <c r="H94" s="116"/>
      <c r="J94" s="102" t="s">
        <v>282</v>
      </c>
      <c r="K94" s="101">
        <v>172.0</v>
      </c>
    </row>
    <row r="95">
      <c r="A95" s="101" t="s">
        <v>306</v>
      </c>
      <c r="B95" s="101">
        <v>1126.0</v>
      </c>
      <c r="C95" s="110"/>
      <c r="E95" s="118" t="s">
        <v>136</v>
      </c>
      <c r="F95" s="115">
        <v>175.0</v>
      </c>
      <c r="G95" s="116"/>
      <c r="H95" s="119"/>
      <c r="J95" s="101" t="s">
        <v>136</v>
      </c>
      <c r="K95" s="101">
        <v>194.0</v>
      </c>
    </row>
    <row r="96">
      <c r="A96" s="101" t="s">
        <v>358</v>
      </c>
      <c r="B96" s="101">
        <v>1144.0</v>
      </c>
      <c r="C96" s="110"/>
      <c r="E96" s="114" t="s">
        <v>306</v>
      </c>
      <c r="F96" s="115">
        <v>184.0</v>
      </c>
      <c r="G96" s="116"/>
      <c r="H96" s="117">
        <v>184.0</v>
      </c>
      <c r="J96" s="102" t="s">
        <v>1573</v>
      </c>
      <c r="K96" s="101">
        <v>330.0</v>
      </c>
    </row>
    <row r="97">
      <c r="A97" s="101" t="s">
        <v>323</v>
      </c>
      <c r="B97" s="101">
        <v>1197.0</v>
      </c>
      <c r="C97" s="110"/>
      <c r="E97" s="114" t="s">
        <v>1574</v>
      </c>
      <c r="F97" s="115">
        <v>184.0</v>
      </c>
      <c r="G97" s="116"/>
      <c r="H97" s="116"/>
      <c r="J97" s="102" t="s">
        <v>1575</v>
      </c>
      <c r="K97" s="101">
        <v>1760.0</v>
      </c>
    </row>
    <row r="98">
      <c r="A98" s="120" t="s">
        <v>196</v>
      </c>
      <c r="B98" s="121">
        <v>1219.0</v>
      </c>
      <c r="C98" s="113"/>
      <c r="E98" s="118" t="s">
        <v>282</v>
      </c>
      <c r="F98" s="115">
        <v>190.0</v>
      </c>
      <c r="G98" s="116"/>
      <c r="H98" s="116"/>
    </row>
    <row r="99">
      <c r="A99" s="114" t="s">
        <v>201</v>
      </c>
      <c r="B99" s="115">
        <v>1330.0</v>
      </c>
      <c r="C99" s="116"/>
      <c r="E99" s="114" t="s">
        <v>196</v>
      </c>
      <c r="F99" s="115">
        <v>220.0</v>
      </c>
      <c r="G99" s="116"/>
      <c r="H99" s="116"/>
    </row>
    <row r="100">
      <c r="A100" s="114" t="s">
        <v>153</v>
      </c>
      <c r="B100" s="115">
        <v>1452.0</v>
      </c>
      <c r="C100" s="116"/>
      <c r="E100" s="114" t="s">
        <v>1576</v>
      </c>
      <c r="F100" s="115">
        <v>272.0</v>
      </c>
      <c r="G100" s="116"/>
      <c r="H100" s="116"/>
    </row>
    <row r="101">
      <c r="A101" s="114" t="s">
        <v>1571</v>
      </c>
      <c r="B101" s="115">
        <v>2534.0</v>
      </c>
      <c r="C101" s="116"/>
      <c r="E101" s="114" t="s">
        <v>1577</v>
      </c>
      <c r="F101" s="115">
        <v>444.0</v>
      </c>
      <c r="G101" s="116"/>
      <c r="H101" s="116"/>
    </row>
    <row r="102">
      <c r="A102" s="118" t="s">
        <v>405</v>
      </c>
      <c r="B102" s="117">
        <v>4008.0</v>
      </c>
      <c r="C102" s="116"/>
      <c r="E102" s="118" t="s">
        <v>1575</v>
      </c>
      <c r="F102" s="117">
        <v>704.0</v>
      </c>
      <c r="G102" s="116"/>
      <c r="H102" s="116"/>
    </row>
    <row r="104">
      <c r="E104" s="99" t="s">
        <v>1578</v>
      </c>
    </row>
    <row r="105">
      <c r="E105" s="100" t="s">
        <v>84</v>
      </c>
      <c r="F105" s="100" t="s">
        <v>1579</v>
      </c>
      <c r="G105" s="100" t="s">
        <v>31</v>
      </c>
      <c r="H105" s="100" t="s">
        <v>1580</v>
      </c>
    </row>
    <row r="106">
      <c r="E106" s="101" t="s">
        <v>224</v>
      </c>
      <c r="F106" s="101">
        <v>95.0</v>
      </c>
      <c r="G106" s="122">
        <v>29.0</v>
      </c>
      <c r="H106" s="123">
        <v>95.0</v>
      </c>
    </row>
    <row r="107">
      <c r="E107" s="101" t="s">
        <v>397</v>
      </c>
      <c r="F107" s="101">
        <v>140.0</v>
      </c>
      <c r="G107" s="122">
        <v>48.0</v>
      </c>
      <c r="H107" s="122">
        <v>140.0</v>
      </c>
    </row>
    <row r="108">
      <c r="E108" s="101" t="s">
        <v>184</v>
      </c>
      <c r="F108" s="101">
        <v>159.0</v>
      </c>
      <c r="G108" s="122">
        <v>48.0</v>
      </c>
      <c r="H108" s="123">
        <v>159.0</v>
      </c>
    </row>
    <row r="109">
      <c r="E109" s="101" t="s">
        <v>219</v>
      </c>
      <c r="F109" s="101">
        <v>159.0</v>
      </c>
      <c r="G109" s="122">
        <v>48.0</v>
      </c>
      <c r="H109" s="123">
        <v>159.0</v>
      </c>
    </row>
    <row r="110">
      <c r="E110" s="101" t="s">
        <v>305</v>
      </c>
      <c r="F110" s="101">
        <v>204.0</v>
      </c>
      <c r="G110" s="122">
        <v>174.0</v>
      </c>
      <c r="H110" s="122">
        <v>714.0</v>
      </c>
    </row>
    <row r="111">
      <c r="E111" s="101" t="s">
        <v>145</v>
      </c>
      <c r="F111" s="101">
        <v>200.0</v>
      </c>
      <c r="G111" s="122">
        <v>0.0</v>
      </c>
      <c r="H111" s="122">
        <v>200.0</v>
      </c>
    </row>
    <row r="112">
      <c r="E112" s="101" t="s">
        <v>204</v>
      </c>
      <c r="F112" s="101">
        <v>240.0</v>
      </c>
      <c r="G112" s="122">
        <v>72.0</v>
      </c>
      <c r="H112" s="123">
        <v>240.0</v>
      </c>
    </row>
    <row r="113">
      <c r="E113" s="101" t="s">
        <v>82</v>
      </c>
      <c r="F113" s="101">
        <v>303.0</v>
      </c>
      <c r="G113" s="122">
        <v>93.0</v>
      </c>
      <c r="H113" s="122">
        <v>303.0</v>
      </c>
    </row>
    <row r="114">
      <c r="E114" s="101" t="s">
        <v>393</v>
      </c>
      <c r="F114" s="101">
        <v>362.0</v>
      </c>
      <c r="G114" s="122">
        <v>0.0</v>
      </c>
      <c r="H114" s="122">
        <v>362.0</v>
      </c>
    </row>
    <row r="115">
      <c r="E115" s="101" t="s">
        <v>100</v>
      </c>
      <c r="F115" s="101">
        <v>572.0</v>
      </c>
      <c r="G115" s="122">
        <v>172.0</v>
      </c>
      <c r="H115" s="123">
        <v>572.0</v>
      </c>
    </row>
    <row r="116">
      <c r="E116" s="101" t="s">
        <v>234</v>
      </c>
      <c r="F116" s="101">
        <v>600.0</v>
      </c>
      <c r="G116" s="122">
        <v>184.0</v>
      </c>
      <c r="H116" s="123">
        <v>600.0</v>
      </c>
    </row>
    <row r="117">
      <c r="E117" s="101" t="s">
        <v>199</v>
      </c>
      <c r="F117" s="101">
        <v>1232.0</v>
      </c>
      <c r="G117" s="122">
        <v>370.0</v>
      </c>
      <c r="H117" s="123">
        <v>1232.0</v>
      </c>
    </row>
    <row r="118">
      <c r="E118" s="101" t="s">
        <v>223</v>
      </c>
      <c r="F118" s="101">
        <v>2631.0</v>
      </c>
      <c r="G118" s="122">
        <v>264.0</v>
      </c>
      <c r="H118" s="123">
        <v>2631.0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7.14"/>
    <col customWidth="1" min="2" max="2" width="12.43"/>
    <col customWidth="1" min="3" max="3" width="16.57"/>
    <col customWidth="1" min="4" max="4" width="16.29"/>
    <col customWidth="1" min="5" max="5" width="17.86"/>
    <col customWidth="1" min="6" max="6" width="18.29"/>
    <col customWidth="1" min="7" max="7" width="19.57"/>
    <col customWidth="1" min="8" max="8" width="20.29"/>
    <col customWidth="1" min="9" max="9" width="11.71"/>
    <col customWidth="1" min="10" max="10" width="17.57"/>
    <col customWidth="1" min="11" max="11" width="26.29"/>
    <col customWidth="1" min="12" max="12" width="11.57"/>
    <col customWidth="1" min="13" max="13" width="17.29"/>
    <col customWidth="1" min="14" max="14" width="26.14"/>
    <col customWidth="1" min="15" max="15" width="17.14"/>
    <col customWidth="1" min="16" max="16" width="23.43"/>
    <col customWidth="1" min="17" max="17" width="31.71"/>
    <col customWidth="1" min="18" max="18" width="21.0"/>
    <col customWidth="1" min="19" max="19" width="27.86"/>
    <col customWidth="1" min="20" max="20" width="25.29"/>
    <col customWidth="1" min="21" max="21" width="17.0"/>
    <col customWidth="1" min="22" max="22" width="23.86"/>
    <col customWidth="1" min="23" max="23" width="21.29"/>
    <col customWidth="1" min="24" max="24" width="16.71"/>
    <col customWidth="1" min="25" max="25" width="23.57"/>
    <col customWidth="1" min="26" max="26" width="21.14"/>
    <col customWidth="1" min="27" max="27" width="22.43"/>
    <col customWidth="1" min="28" max="28" width="29.14"/>
    <col customWidth="1" min="29" max="29" width="26.71"/>
    <col customWidth="1" min="30" max="30" width="17.29"/>
  </cols>
  <sheetData>
    <row r="1">
      <c r="A1" s="7" t="s">
        <v>1581</v>
      </c>
      <c r="K1" s="124"/>
      <c r="N1" s="124"/>
      <c r="Q1" s="124"/>
      <c r="S1" s="125"/>
      <c r="V1" s="125"/>
      <c r="Y1" s="125"/>
      <c r="AB1" s="126"/>
    </row>
    <row r="2">
      <c r="A2" s="127" t="s">
        <v>1582</v>
      </c>
      <c r="K2" s="124"/>
      <c r="N2" s="124"/>
      <c r="Q2" s="124"/>
      <c r="S2" s="125"/>
      <c r="V2" s="125"/>
      <c r="Y2" s="125"/>
      <c r="AB2" s="126"/>
    </row>
    <row r="3">
      <c r="A3" s="100" t="s">
        <v>1583</v>
      </c>
      <c r="B3" s="100" t="s">
        <v>1584</v>
      </c>
      <c r="C3" s="100" t="s">
        <v>1585</v>
      </c>
      <c r="D3" s="100" t="s">
        <v>1586</v>
      </c>
      <c r="E3" s="100" t="s">
        <v>1587</v>
      </c>
      <c r="F3" s="100" t="s">
        <v>1588</v>
      </c>
      <c r="G3" s="100" t="s">
        <v>1589</v>
      </c>
      <c r="H3" s="100" t="s">
        <v>1590</v>
      </c>
      <c r="I3" s="100" t="s">
        <v>1591</v>
      </c>
      <c r="J3" s="100" t="s">
        <v>1592</v>
      </c>
      <c r="K3" s="128" t="s">
        <v>1593</v>
      </c>
      <c r="L3" s="100" t="s">
        <v>1594</v>
      </c>
      <c r="M3" s="100" t="s">
        <v>1595</v>
      </c>
      <c r="N3" s="100" t="s">
        <v>1596</v>
      </c>
      <c r="O3" s="100" t="s">
        <v>1597</v>
      </c>
      <c r="P3" s="100" t="s">
        <v>1598</v>
      </c>
      <c r="Q3" s="100" t="s">
        <v>1599</v>
      </c>
      <c r="R3" s="100" t="s">
        <v>1600</v>
      </c>
      <c r="S3" s="129" t="s">
        <v>1601</v>
      </c>
      <c r="T3" s="100" t="s">
        <v>1602</v>
      </c>
      <c r="U3" s="100" t="s">
        <v>1603</v>
      </c>
      <c r="V3" s="129" t="s">
        <v>1604</v>
      </c>
      <c r="W3" s="100" t="s">
        <v>1605</v>
      </c>
      <c r="X3" s="100" t="s">
        <v>1606</v>
      </c>
      <c r="Y3" s="129" t="s">
        <v>1607</v>
      </c>
      <c r="Z3" s="100" t="s">
        <v>1608</v>
      </c>
      <c r="AA3" s="100" t="s">
        <v>1609</v>
      </c>
      <c r="AB3" s="130" t="s">
        <v>1610</v>
      </c>
      <c r="AC3" s="100" t="s">
        <v>1611</v>
      </c>
      <c r="AD3" s="100" t="s">
        <v>1612</v>
      </c>
      <c r="AE3" s="131"/>
      <c r="AF3" s="132" t="s">
        <v>1613</v>
      </c>
      <c r="AG3" s="131"/>
      <c r="AH3" s="131"/>
      <c r="AI3" s="131"/>
      <c r="AJ3" s="131"/>
      <c r="AK3" s="131"/>
    </row>
    <row r="4">
      <c r="A4" s="133" t="s">
        <v>1614</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5"/>
      <c r="AE4" s="134"/>
      <c r="AF4" s="100" t="s">
        <v>1615</v>
      </c>
      <c r="AG4" s="100" t="s">
        <v>83</v>
      </c>
      <c r="AH4" s="100" t="s">
        <v>101</v>
      </c>
      <c r="AI4" s="100" t="s">
        <v>131</v>
      </c>
      <c r="AJ4" s="100" t="s">
        <v>181</v>
      </c>
      <c r="AK4" s="134"/>
    </row>
    <row r="5">
      <c r="A5" s="135" t="s">
        <v>81</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5"/>
      <c r="AE5" s="134"/>
      <c r="AF5" s="100" t="s">
        <v>81</v>
      </c>
      <c r="AG5" s="101">
        <v>4.0</v>
      </c>
      <c r="AH5" s="101">
        <v>4.0</v>
      </c>
      <c r="AI5" s="101">
        <v>0.0</v>
      </c>
      <c r="AJ5" s="101">
        <v>0.0</v>
      </c>
      <c r="AK5" s="134"/>
    </row>
    <row r="6">
      <c r="A6" s="101" t="s">
        <v>1616</v>
      </c>
      <c r="B6" s="101" t="s">
        <v>655</v>
      </c>
      <c r="C6" s="101">
        <v>3.0</v>
      </c>
      <c r="D6" s="101">
        <v>0.0</v>
      </c>
      <c r="E6" s="101">
        <v>6.0</v>
      </c>
      <c r="F6" s="101">
        <v>6.0</v>
      </c>
      <c r="G6" s="102">
        <f t="shared" ref="G6:G10" si="1">E6*C6</f>
        <v>18</v>
      </c>
      <c r="H6" s="102">
        <f t="shared" ref="H6:H10" si="2">F6*C6</f>
        <v>18</v>
      </c>
      <c r="I6" s="101"/>
      <c r="J6" s="101">
        <v>0.0</v>
      </c>
      <c r="K6" s="136">
        <v>0.0</v>
      </c>
      <c r="L6" s="101"/>
      <c r="M6" s="101">
        <v>0.0</v>
      </c>
      <c r="N6" s="136">
        <v>0.0</v>
      </c>
      <c r="O6" s="137"/>
      <c r="P6" s="101">
        <v>0.0</v>
      </c>
      <c r="Q6" s="136">
        <v>0.0</v>
      </c>
      <c r="R6" s="101"/>
      <c r="S6" s="138"/>
      <c r="T6" s="101"/>
      <c r="U6" s="101"/>
      <c r="V6" s="138"/>
      <c r="W6" s="101"/>
      <c r="X6" s="101"/>
      <c r="Y6" s="138"/>
      <c r="Z6" s="101"/>
      <c r="AA6" s="101"/>
      <c r="AB6" s="139"/>
      <c r="AC6" s="101"/>
      <c r="AD6" s="101" t="s">
        <v>1617</v>
      </c>
      <c r="AE6" s="134"/>
      <c r="AF6" s="100">
        <v>1.0</v>
      </c>
      <c r="AG6" s="101">
        <v>6.0</v>
      </c>
      <c r="AH6" s="101">
        <v>5.0</v>
      </c>
      <c r="AI6" s="101">
        <v>0.0</v>
      </c>
      <c r="AJ6" s="101">
        <v>0.0</v>
      </c>
      <c r="AK6" s="134"/>
    </row>
    <row r="7">
      <c r="A7" s="101" t="s">
        <v>1618</v>
      </c>
      <c r="B7" s="101" t="s">
        <v>655</v>
      </c>
      <c r="C7" s="101">
        <v>3.0</v>
      </c>
      <c r="D7" s="101">
        <v>0.0</v>
      </c>
      <c r="E7" s="101">
        <v>6.0</v>
      </c>
      <c r="F7" s="101">
        <v>6.0</v>
      </c>
      <c r="G7" s="102">
        <f t="shared" si="1"/>
        <v>18</v>
      </c>
      <c r="H7" s="102">
        <f t="shared" si="2"/>
        <v>18</v>
      </c>
      <c r="I7" s="101"/>
      <c r="J7" s="101">
        <v>1.0</v>
      </c>
      <c r="K7" s="136">
        <v>0.0</v>
      </c>
      <c r="L7" s="101"/>
      <c r="M7" s="101">
        <v>0.0</v>
      </c>
      <c r="N7" s="136">
        <v>0.0</v>
      </c>
      <c r="O7" s="137"/>
      <c r="P7" s="101">
        <v>0.0</v>
      </c>
      <c r="Q7" s="136">
        <v>0.0</v>
      </c>
      <c r="R7" s="101"/>
      <c r="S7" s="138"/>
      <c r="T7" s="101"/>
      <c r="U7" s="101"/>
      <c r="V7" s="138"/>
      <c r="W7" s="101"/>
      <c r="X7" s="101"/>
      <c r="Y7" s="138"/>
      <c r="Z7" s="101"/>
      <c r="AA7" s="101"/>
      <c r="AB7" s="139"/>
      <c r="AC7" s="101"/>
      <c r="AD7" s="101" t="s">
        <v>105</v>
      </c>
      <c r="AE7" s="134"/>
      <c r="AF7" s="100">
        <v>2.0</v>
      </c>
      <c r="AG7" s="101">
        <v>8.0</v>
      </c>
      <c r="AH7" s="101">
        <v>7.0</v>
      </c>
      <c r="AI7" s="101">
        <v>2.0</v>
      </c>
      <c r="AJ7" s="101">
        <v>0.0</v>
      </c>
      <c r="AK7" s="134"/>
    </row>
    <row r="8">
      <c r="A8" s="101" t="s">
        <v>1619</v>
      </c>
      <c r="B8" s="101" t="s">
        <v>655</v>
      </c>
      <c r="C8" s="101">
        <v>3.0</v>
      </c>
      <c r="D8" s="101">
        <v>0.0</v>
      </c>
      <c r="E8" s="101">
        <v>6.0</v>
      </c>
      <c r="F8" s="101">
        <v>6.0</v>
      </c>
      <c r="G8" s="102">
        <f t="shared" si="1"/>
        <v>18</v>
      </c>
      <c r="H8" s="102">
        <f t="shared" si="2"/>
        <v>18</v>
      </c>
      <c r="I8" s="101"/>
      <c r="J8" s="101">
        <v>0.0</v>
      </c>
      <c r="K8" s="136">
        <v>0.0</v>
      </c>
      <c r="L8" s="101">
        <v>3.0</v>
      </c>
      <c r="M8" s="102">
        <f>ROUNDDOWN(C8/L8,0)</f>
        <v>1</v>
      </c>
      <c r="N8" s="136">
        <f>IFERROR(__xludf.DUMMYFUNCTION("TO_PERCENT(C8/L8-M8)"),0.0)</f>
        <v>0</v>
      </c>
      <c r="O8" s="137"/>
      <c r="P8" s="101">
        <v>0.0</v>
      </c>
      <c r="Q8" s="136">
        <v>0.0</v>
      </c>
      <c r="R8" s="102"/>
      <c r="S8" s="140"/>
      <c r="T8" s="102"/>
      <c r="U8" s="102"/>
      <c r="V8" s="140"/>
      <c r="W8" s="102"/>
      <c r="X8" s="102"/>
      <c r="Y8" s="140"/>
      <c r="Z8" s="102"/>
      <c r="AA8" s="102"/>
      <c r="AB8" s="141"/>
      <c r="AC8" s="102"/>
      <c r="AD8" s="102"/>
      <c r="AE8" s="134"/>
      <c r="AF8" s="100">
        <v>3.0</v>
      </c>
      <c r="AG8" s="101">
        <v>10.0</v>
      </c>
      <c r="AH8" s="101">
        <v>9.0</v>
      </c>
      <c r="AI8" s="101">
        <v>4.0</v>
      </c>
      <c r="AJ8" s="101">
        <v>0.0</v>
      </c>
      <c r="AK8" s="134"/>
    </row>
    <row r="9">
      <c r="A9" s="101" t="s">
        <v>1620</v>
      </c>
      <c r="B9" s="101" t="s">
        <v>655</v>
      </c>
      <c r="C9" s="101">
        <v>3.0</v>
      </c>
      <c r="D9" s="101">
        <v>0.0</v>
      </c>
      <c r="E9" s="101">
        <v>6.0</v>
      </c>
      <c r="F9" s="101">
        <v>6.0</v>
      </c>
      <c r="G9" s="102">
        <f t="shared" si="1"/>
        <v>18</v>
      </c>
      <c r="H9" s="102">
        <f t="shared" si="2"/>
        <v>18</v>
      </c>
      <c r="I9" s="101">
        <v>8.0</v>
      </c>
      <c r="J9" s="102">
        <f t="shared" ref="J9:J10" si="3">ROUNDDOWN(C9/I9,0)</f>
        <v>0</v>
      </c>
      <c r="K9" s="136">
        <f>IFERROR(__xludf.DUMMYFUNCTION("TO_PERCENT(C9/I9-J9)"),0.375)</f>
        <v>0.375</v>
      </c>
      <c r="L9" s="101"/>
      <c r="M9" s="101">
        <v>0.0</v>
      </c>
      <c r="N9" s="136">
        <v>0.0</v>
      </c>
      <c r="O9" s="137"/>
      <c r="P9" s="101">
        <v>0.0</v>
      </c>
      <c r="Q9" s="136">
        <v>0.0</v>
      </c>
      <c r="R9" s="102"/>
      <c r="S9" s="140"/>
      <c r="T9" s="102"/>
      <c r="U9" s="102"/>
      <c r="V9" s="140"/>
      <c r="W9" s="102"/>
      <c r="X9" s="102"/>
      <c r="Y9" s="140"/>
      <c r="Z9" s="102"/>
      <c r="AA9" s="102"/>
      <c r="AB9" s="141"/>
      <c r="AC9" s="102"/>
      <c r="AD9" s="102"/>
      <c r="AE9" s="134"/>
      <c r="AF9" s="100">
        <v>4.0</v>
      </c>
      <c r="AG9" s="101">
        <v>12.0</v>
      </c>
      <c r="AH9" s="101">
        <v>11.0</v>
      </c>
      <c r="AI9" s="101">
        <v>6.0</v>
      </c>
      <c r="AJ9" s="101">
        <v>1.0</v>
      </c>
      <c r="AK9" s="134"/>
    </row>
    <row r="10">
      <c r="A10" s="101" t="s">
        <v>1621</v>
      </c>
      <c r="B10" s="101" t="s">
        <v>1622</v>
      </c>
      <c r="C10" s="101">
        <v>3.0</v>
      </c>
      <c r="D10" s="101">
        <v>0.0</v>
      </c>
      <c r="E10" s="101">
        <v>5.0</v>
      </c>
      <c r="F10" s="101">
        <v>7.0</v>
      </c>
      <c r="G10" s="102">
        <f t="shared" si="1"/>
        <v>15</v>
      </c>
      <c r="H10" s="102">
        <f t="shared" si="2"/>
        <v>21</v>
      </c>
      <c r="I10" s="101">
        <v>12.0</v>
      </c>
      <c r="J10" s="102">
        <f t="shared" si="3"/>
        <v>0</v>
      </c>
      <c r="K10" s="136">
        <f>IFERROR(__xludf.DUMMYFUNCTION("TO_PERCENT(C10/I10-J10)"),0.25)</f>
        <v>0.25</v>
      </c>
      <c r="L10" s="101">
        <v>500.0</v>
      </c>
      <c r="M10" s="102">
        <f>ROUNDDOWN(C10/L10,0)</f>
        <v>0</v>
      </c>
      <c r="N10" s="136">
        <f>IFERROR(__xludf.DUMMYFUNCTION("TO_PERCENT(C10/L10-M10)"),0.006)</f>
        <v>0.006</v>
      </c>
      <c r="O10" s="101">
        <v>10000.0</v>
      </c>
      <c r="P10" s="101">
        <v>0.0</v>
      </c>
      <c r="Q10" s="136">
        <v>0.0</v>
      </c>
      <c r="R10" s="102"/>
      <c r="S10" s="140"/>
      <c r="T10" s="102"/>
      <c r="U10" s="102"/>
      <c r="V10" s="140"/>
      <c r="W10" s="102"/>
      <c r="X10" s="102"/>
      <c r="Y10" s="140"/>
      <c r="Z10" s="102"/>
      <c r="AA10" s="102"/>
      <c r="AB10" s="141"/>
      <c r="AC10" s="102"/>
      <c r="AD10" s="102"/>
      <c r="AE10" s="134"/>
      <c r="AF10" s="100">
        <v>5.0</v>
      </c>
      <c r="AG10" s="101">
        <v>14.0</v>
      </c>
      <c r="AH10" s="101">
        <v>12.0</v>
      </c>
      <c r="AI10" s="101">
        <v>8.0</v>
      </c>
      <c r="AJ10" s="101">
        <v>2.0</v>
      </c>
      <c r="AK10" s="134"/>
    </row>
    <row r="11">
      <c r="A11" s="135" t="s">
        <v>1623</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5"/>
      <c r="AE11" s="134"/>
      <c r="AF11" s="100">
        <v>6.0</v>
      </c>
      <c r="AG11" s="101">
        <v>15.0</v>
      </c>
      <c r="AH11" s="101">
        <v>14.0</v>
      </c>
      <c r="AI11" s="101">
        <v>10.0</v>
      </c>
      <c r="AJ11" s="101">
        <v>3.0</v>
      </c>
      <c r="AK11" s="134"/>
    </row>
    <row r="12">
      <c r="A12" s="101" t="s">
        <v>1621</v>
      </c>
      <c r="B12" s="101" t="s">
        <v>1622</v>
      </c>
      <c r="C12" s="101">
        <v>4.0</v>
      </c>
      <c r="D12" s="101">
        <v>0.0</v>
      </c>
      <c r="E12" s="101">
        <v>7.0</v>
      </c>
      <c r="F12" s="101">
        <v>8.0</v>
      </c>
      <c r="G12" s="102">
        <f t="shared" ref="G12:G22" si="4">E12*C12</f>
        <v>28</v>
      </c>
      <c r="H12" s="102">
        <f t="shared" ref="H12:H22" si="5">F12*C12</f>
        <v>32</v>
      </c>
      <c r="I12" s="101">
        <v>9.0</v>
      </c>
      <c r="J12" s="102">
        <f t="shared" ref="J12:J18" si="6">ROUNDDOWN(C12/I12,0)</f>
        <v>0</v>
      </c>
      <c r="K12" s="136">
        <f>IFERROR(__xludf.DUMMYFUNCTION("TO_PERCENT(C12/I12-J12)"),0.4444444444444444)</f>
        <v>0.4444444444</v>
      </c>
      <c r="L12" s="101">
        <v>500.0</v>
      </c>
      <c r="M12" s="102">
        <f t="shared" ref="M12:M18" si="7">ROUNDDOWN(C12/L12,0)</f>
        <v>0</v>
      </c>
      <c r="N12" s="136">
        <f>IFERROR(__xludf.DUMMYFUNCTION("TO_PERCENT(C12/L12-M12)"),0.008)</f>
        <v>0.008</v>
      </c>
      <c r="O12" s="101">
        <v>10000.0</v>
      </c>
      <c r="P12" s="102">
        <f t="shared" ref="P12:P18" si="8">ROUNDDOWN($C12*$AJ$6/$AG$6/O12,0)</f>
        <v>0</v>
      </c>
      <c r="Q12" s="136">
        <f>IFERROR(__xludf.DUMMYFUNCTION("TO_PERCENT($C12*$AJ$6/$AG$6/O12-P12)"),0.0)</f>
        <v>0</v>
      </c>
      <c r="R12" s="102"/>
      <c r="S12" s="140"/>
      <c r="T12" s="102"/>
      <c r="U12" s="102"/>
      <c r="V12" s="140"/>
      <c r="W12" s="102"/>
      <c r="X12" s="102"/>
      <c r="Y12" s="140"/>
      <c r="Z12" s="102"/>
      <c r="AA12" s="102"/>
      <c r="AB12" s="141"/>
      <c r="AC12" s="102"/>
      <c r="AD12" s="102"/>
      <c r="AE12" s="134"/>
      <c r="AF12" s="100">
        <v>7.0</v>
      </c>
      <c r="AG12" s="101">
        <v>17.0</v>
      </c>
      <c r="AH12" s="101">
        <v>16.0</v>
      </c>
      <c r="AI12" s="101">
        <v>12.0</v>
      </c>
      <c r="AJ12" s="101">
        <v>4.0</v>
      </c>
      <c r="AK12" s="134"/>
    </row>
    <row r="13">
      <c r="A13" s="101" t="s">
        <v>1624</v>
      </c>
      <c r="B13" s="101" t="s">
        <v>1625</v>
      </c>
      <c r="C13" s="101">
        <v>8.0</v>
      </c>
      <c r="D13" s="101">
        <v>0.0</v>
      </c>
      <c r="E13" s="101">
        <v>14.0</v>
      </c>
      <c r="F13" s="101">
        <v>16.0</v>
      </c>
      <c r="G13" s="102">
        <f t="shared" si="4"/>
        <v>112</v>
      </c>
      <c r="H13" s="102">
        <f t="shared" si="5"/>
        <v>128</v>
      </c>
      <c r="I13" s="101">
        <v>4.0</v>
      </c>
      <c r="J13" s="102">
        <f t="shared" si="6"/>
        <v>2</v>
      </c>
      <c r="K13" s="136">
        <f>IFERROR(__xludf.DUMMYFUNCTION("TO_PERCENT(C13/I13-J13)"),0.0)</f>
        <v>0</v>
      </c>
      <c r="L13" s="101">
        <v>200.0</v>
      </c>
      <c r="M13" s="102">
        <f t="shared" si="7"/>
        <v>0</v>
      </c>
      <c r="N13" s="136">
        <f>IFERROR(__xludf.DUMMYFUNCTION("TO_PERCENT(C13/L13-M13)"),0.04)</f>
        <v>0.04</v>
      </c>
      <c r="O13" s="101">
        <v>4000.0</v>
      </c>
      <c r="P13" s="102">
        <f t="shared" si="8"/>
        <v>0</v>
      </c>
      <c r="Q13" s="136">
        <f>IFERROR(__xludf.DUMMYFUNCTION("TO_PERCENT($C13*$AJ$6/$AG$6/O13-P13)"),0.0)</f>
        <v>0</v>
      </c>
      <c r="R13" s="102"/>
      <c r="S13" s="140"/>
      <c r="T13" s="102"/>
      <c r="U13" s="102"/>
      <c r="V13" s="140"/>
      <c r="W13" s="102"/>
      <c r="X13" s="102"/>
      <c r="Y13" s="140"/>
      <c r="Z13" s="102"/>
      <c r="AA13" s="102"/>
      <c r="AB13" s="141"/>
      <c r="AC13" s="102"/>
      <c r="AD13" s="102"/>
      <c r="AE13" s="134"/>
      <c r="AF13" s="100">
        <v>8.0</v>
      </c>
      <c r="AG13" s="101">
        <v>19.0</v>
      </c>
      <c r="AH13" s="101">
        <v>17.0</v>
      </c>
      <c r="AI13" s="101">
        <v>14.0</v>
      </c>
      <c r="AJ13" s="101">
        <v>5.0</v>
      </c>
      <c r="AK13" s="134"/>
    </row>
    <row r="14">
      <c r="A14" s="101" t="s">
        <v>1626</v>
      </c>
      <c r="B14" s="101" t="s">
        <v>1627</v>
      </c>
      <c r="C14" s="101">
        <v>20.0</v>
      </c>
      <c r="D14" s="101">
        <v>0.0</v>
      </c>
      <c r="E14" s="101">
        <v>16.0</v>
      </c>
      <c r="F14" s="101">
        <v>16.0</v>
      </c>
      <c r="G14" s="102">
        <f t="shared" si="4"/>
        <v>320</v>
      </c>
      <c r="H14" s="102">
        <f t="shared" si="5"/>
        <v>320</v>
      </c>
      <c r="I14" s="101">
        <v>5.0</v>
      </c>
      <c r="J14" s="102">
        <f t="shared" si="6"/>
        <v>4</v>
      </c>
      <c r="K14" s="136">
        <f>IFERROR(__xludf.DUMMYFUNCTION("TO_PERCENT(C14/I14-J14)"),0.0)</f>
        <v>0</v>
      </c>
      <c r="L14" s="101">
        <v>10.0</v>
      </c>
      <c r="M14" s="102">
        <f t="shared" si="7"/>
        <v>2</v>
      </c>
      <c r="N14" s="136">
        <f>IFERROR(__xludf.DUMMYFUNCTION("TO_PERCENT(C14/L14-M14)"),0.0)</f>
        <v>0</v>
      </c>
      <c r="O14" s="101">
        <v>300.0</v>
      </c>
      <c r="P14" s="102">
        <f t="shared" si="8"/>
        <v>0</v>
      </c>
      <c r="Q14" s="136">
        <f>IFERROR(__xludf.DUMMYFUNCTION("TO_PERCENT($C14*$AJ$6/$AG$6/O14-P14)"),0.0)</f>
        <v>0</v>
      </c>
      <c r="R14" s="102"/>
      <c r="S14" s="140"/>
      <c r="T14" s="102"/>
      <c r="U14" s="102"/>
      <c r="V14" s="140"/>
      <c r="W14" s="102"/>
      <c r="X14" s="102"/>
      <c r="Y14" s="140"/>
      <c r="Z14" s="102"/>
      <c r="AA14" s="102"/>
      <c r="AB14" s="141"/>
      <c r="AC14" s="102"/>
      <c r="AD14" s="102"/>
      <c r="AE14" s="134"/>
      <c r="AF14" s="100">
        <v>9.0</v>
      </c>
      <c r="AG14" s="101">
        <v>20.0</v>
      </c>
      <c r="AH14" s="101">
        <v>19.0</v>
      </c>
      <c r="AI14" s="101">
        <v>16.0</v>
      </c>
      <c r="AJ14" s="101">
        <v>6.0</v>
      </c>
      <c r="AK14" s="134"/>
    </row>
    <row r="15">
      <c r="A15" s="101" t="s">
        <v>1628</v>
      </c>
      <c r="B15" s="102"/>
      <c r="C15" s="101">
        <v>3.0</v>
      </c>
      <c r="D15" s="101">
        <v>0.0</v>
      </c>
      <c r="E15" s="101">
        <v>7.0</v>
      </c>
      <c r="F15" s="101">
        <v>8.0</v>
      </c>
      <c r="G15" s="102">
        <f t="shared" si="4"/>
        <v>21</v>
      </c>
      <c r="H15" s="102">
        <f t="shared" si="5"/>
        <v>24</v>
      </c>
      <c r="I15" s="101">
        <v>10.0</v>
      </c>
      <c r="J15" s="102">
        <f t="shared" si="6"/>
        <v>0</v>
      </c>
      <c r="K15" s="136">
        <f>IFERROR(__xludf.DUMMYFUNCTION("TO_PERCENT(C15/I15-J15)"),0.3)</f>
        <v>0.3</v>
      </c>
      <c r="L15" s="101">
        <v>200.0</v>
      </c>
      <c r="M15" s="102">
        <f t="shared" si="7"/>
        <v>0</v>
      </c>
      <c r="N15" s="136">
        <f>IFERROR(__xludf.DUMMYFUNCTION("TO_PERCENT(C15/L15-M15)"),0.015)</f>
        <v>0.015</v>
      </c>
      <c r="O15" s="101">
        <v>4000.0</v>
      </c>
      <c r="P15" s="102">
        <f t="shared" si="8"/>
        <v>0</v>
      </c>
      <c r="Q15" s="136">
        <f>IFERROR(__xludf.DUMMYFUNCTION("TO_PERCENT($C15*$AJ$6/$AG$6/O15-P15)"),0.0)</f>
        <v>0</v>
      </c>
      <c r="R15" s="102"/>
      <c r="S15" s="140"/>
      <c r="T15" s="102"/>
      <c r="U15" s="102"/>
      <c r="V15" s="140"/>
      <c r="W15" s="102"/>
      <c r="X15" s="102"/>
      <c r="Y15" s="140"/>
      <c r="Z15" s="102"/>
      <c r="AA15" s="102"/>
      <c r="AB15" s="141"/>
      <c r="AC15" s="102"/>
      <c r="AD15" s="102"/>
      <c r="AE15" s="134"/>
      <c r="AF15" s="100">
        <v>10.0</v>
      </c>
      <c r="AG15" s="101">
        <v>22.0</v>
      </c>
      <c r="AH15" s="101">
        <v>20.0</v>
      </c>
      <c r="AI15" s="101">
        <v>18.0</v>
      </c>
      <c r="AJ15" s="101">
        <v>8.0</v>
      </c>
      <c r="AK15" s="134"/>
    </row>
    <row r="16">
      <c r="A16" s="101" t="s">
        <v>1629</v>
      </c>
      <c r="B16" s="102"/>
      <c r="C16" s="101">
        <v>16.0</v>
      </c>
      <c r="D16" s="101">
        <v>0.0</v>
      </c>
      <c r="E16" s="101">
        <v>14.0</v>
      </c>
      <c r="F16" s="101">
        <v>16.0</v>
      </c>
      <c r="G16" s="102">
        <f t="shared" si="4"/>
        <v>224</v>
      </c>
      <c r="H16" s="102">
        <f t="shared" si="5"/>
        <v>256</v>
      </c>
      <c r="I16" s="101">
        <v>6.0</v>
      </c>
      <c r="J16" s="102">
        <f t="shared" si="6"/>
        <v>2</v>
      </c>
      <c r="K16" s="136">
        <f>IFERROR(__xludf.DUMMYFUNCTION("TO_PERCENT(C16/I16-J16)"),0.6666666666666665)</f>
        <v>0.6666666667</v>
      </c>
      <c r="L16" s="101">
        <v>120.0</v>
      </c>
      <c r="M16" s="102">
        <f t="shared" si="7"/>
        <v>0</v>
      </c>
      <c r="N16" s="136">
        <f>IFERROR(__xludf.DUMMYFUNCTION("TO_PERCENT(C16/L16-M16)"),0.13333333333333333)</f>
        <v>0.1333333333</v>
      </c>
      <c r="O16" s="101">
        <v>2400.0</v>
      </c>
      <c r="P16" s="102">
        <f t="shared" si="8"/>
        <v>0</v>
      </c>
      <c r="Q16" s="136">
        <f>IFERROR(__xludf.DUMMYFUNCTION("TO_PERCENT($C16*$AJ$6/$AG$6/O16-P16)"),0.0)</f>
        <v>0</v>
      </c>
      <c r="R16" s="102"/>
      <c r="S16" s="140"/>
      <c r="T16" s="102"/>
      <c r="U16" s="102"/>
      <c r="V16" s="140"/>
      <c r="W16" s="102"/>
      <c r="X16" s="102"/>
      <c r="Y16" s="140"/>
      <c r="Z16" s="102"/>
      <c r="AA16" s="102"/>
      <c r="AB16" s="141"/>
      <c r="AC16" s="102"/>
      <c r="AD16" s="102"/>
      <c r="AE16" s="134"/>
      <c r="AF16" s="109">
        <v>11.0</v>
      </c>
      <c r="AG16" s="106">
        <v>24.0</v>
      </c>
      <c r="AH16" s="106">
        <v>21.0</v>
      </c>
      <c r="AI16" s="106">
        <v>20.0</v>
      </c>
      <c r="AJ16" s="106">
        <v>10.0</v>
      </c>
      <c r="AK16" s="134"/>
    </row>
    <row r="17">
      <c r="A17" s="101" t="s">
        <v>107</v>
      </c>
      <c r="B17" s="101" t="s">
        <v>1627</v>
      </c>
      <c r="C17" s="101">
        <v>70.0</v>
      </c>
      <c r="D17" s="101">
        <v>0.0</v>
      </c>
      <c r="E17" s="101">
        <v>9.0</v>
      </c>
      <c r="F17" s="101">
        <v>9.0</v>
      </c>
      <c r="G17" s="102">
        <f t="shared" si="4"/>
        <v>630</v>
      </c>
      <c r="H17" s="102">
        <f t="shared" si="5"/>
        <v>630</v>
      </c>
      <c r="I17" s="101">
        <v>5.0</v>
      </c>
      <c r="J17" s="102">
        <f t="shared" si="6"/>
        <v>14</v>
      </c>
      <c r="K17" s="136">
        <f>IFERROR(__xludf.DUMMYFUNCTION("TO_PERCENT(C17/I17-J17)"),0.0)</f>
        <v>0</v>
      </c>
      <c r="L17" s="101">
        <v>500.0</v>
      </c>
      <c r="M17" s="102">
        <f t="shared" si="7"/>
        <v>0</v>
      </c>
      <c r="N17" s="136">
        <f>IFERROR(__xludf.DUMMYFUNCTION("TO_PERCENT(C17/L17-M17)"),0.14)</f>
        <v>0.14</v>
      </c>
      <c r="O17" s="101">
        <v>10000.0</v>
      </c>
      <c r="P17" s="102">
        <f t="shared" si="8"/>
        <v>0</v>
      </c>
      <c r="Q17" s="136">
        <f>IFERROR(__xludf.DUMMYFUNCTION("TO_PERCENT($C17*$AJ$6/$AG$6/O17-P17)"),0.0)</f>
        <v>0</v>
      </c>
      <c r="R17" s="102"/>
      <c r="S17" s="140"/>
      <c r="T17" s="102"/>
      <c r="U17" s="102"/>
      <c r="V17" s="140"/>
      <c r="W17" s="102"/>
      <c r="X17" s="102"/>
      <c r="Y17" s="140"/>
      <c r="Z17" s="102"/>
      <c r="AA17" s="102"/>
      <c r="AB17" s="141"/>
      <c r="AC17" s="102"/>
      <c r="AD17" s="102"/>
      <c r="AE17" s="134"/>
      <c r="AF17" s="109">
        <v>12.0</v>
      </c>
      <c r="AG17" s="106">
        <v>25.0</v>
      </c>
      <c r="AH17" s="106">
        <v>23.0</v>
      </c>
      <c r="AI17" s="106">
        <v>22.0</v>
      </c>
      <c r="AJ17" s="106">
        <v>12.0</v>
      </c>
      <c r="AK17" s="134"/>
    </row>
    <row r="18">
      <c r="A18" s="101" t="s">
        <v>1630</v>
      </c>
      <c r="B18" s="101" t="s">
        <v>1631</v>
      </c>
      <c r="C18" s="101">
        <v>180.0</v>
      </c>
      <c r="D18" s="101">
        <v>3.0</v>
      </c>
      <c r="E18" s="101">
        <v>9.0</v>
      </c>
      <c r="F18" s="101">
        <v>9.0</v>
      </c>
      <c r="G18" s="102">
        <f t="shared" si="4"/>
        <v>1620</v>
      </c>
      <c r="H18" s="102">
        <f t="shared" si="5"/>
        <v>1620</v>
      </c>
      <c r="I18" s="101">
        <v>5.0</v>
      </c>
      <c r="J18" s="102">
        <f t="shared" si="6"/>
        <v>36</v>
      </c>
      <c r="K18" s="136">
        <f>IFERROR(__xludf.DUMMYFUNCTION("TO_PERCENT(C18/I18-J18)"),0.0)</f>
        <v>0</v>
      </c>
      <c r="L18" s="101">
        <v>30.0</v>
      </c>
      <c r="M18" s="102">
        <f t="shared" si="7"/>
        <v>6</v>
      </c>
      <c r="N18" s="136">
        <f>IFERROR(__xludf.DUMMYFUNCTION("TO_PERCENT(C18/L18-M18)"),0.0)</f>
        <v>0</v>
      </c>
      <c r="O18" s="101">
        <v>600.0</v>
      </c>
      <c r="P18" s="102">
        <f t="shared" si="8"/>
        <v>0</v>
      </c>
      <c r="Q18" s="136">
        <f>IFERROR(__xludf.DUMMYFUNCTION("TO_PERCENT($C18*$AJ$6/$AG$6/O18-P18)"),0.0)</f>
        <v>0</v>
      </c>
      <c r="R18" s="102"/>
      <c r="S18" s="140"/>
      <c r="T18" s="102"/>
      <c r="U18" s="102"/>
      <c r="V18" s="140"/>
      <c r="W18" s="102"/>
      <c r="X18" s="102"/>
      <c r="Y18" s="140"/>
      <c r="Z18" s="102"/>
      <c r="AA18" s="102"/>
      <c r="AB18" s="141"/>
      <c r="AC18" s="102"/>
      <c r="AD18" s="102"/>
      <c r="AE18" s="134"/>
      <c r="AF18" s="109">
        <v>13.0</v>
      </c>
      <c r="AG18" s="106">
        <v>26.0</v>
      </c>
      <c r="AH18" s="106">
        <v>25.0</v>
      </c>
      <c r="AI18" s="106">
        <v>23.0</v>
      </c>
      <c r="AJ18" s="106">
        <v>14.0</v>
      </c>
      <c r="AK18" s="134"/>
    </row>
    <row r="19">
      <c r="A19" s="101" t="s">
        <v>131</v>
      </c>
      <c r="B19" s="101" t="s">
        <v>1627</v>
      </c>
      <c r="C19" s="101">
        <v>6.0</v>
      </c>
      <c r="D19" s="101">
        <v>0.0</v>
      </c>
      <c r="E19" s="101">
        <v>0.0</v>
      </c>
      <c r="F19" s="101">
        <v>0.0</v>
      </c>
      <c r="G19" s="102">
        <f t="shared" si="4"/>
        <v>0</v>
      </c>
      <c r="H19" s="102">
        <f t="shared" si="5"/>
        <v>0</v>
      </c>
      <c r="I19" s="101">
        <v>0.0</v>
      </c>
      <c r="J19" s="101">
        <v>0.0</v>
      </c>
      <c r="K19" s="136">
        <v>0.0</v>
      </c>
      <c r="L19" s="101">
        <v>1.0</v>
      </c>
      <c r="M19" s="101">
        <v>6.0</v>
      </c>
      <c r="N19" s="136">
        <v>0.0</v>
      </c>
      <c r="O19" s="101">
        <v>0.0</v>
      </c>
      <c r="P19" s="101">
        <v>0.0</v>
      </c>
      <c r="Q19" s="136">
        <v>0.0</v>
      </c>
      <c r="R19" s="102"/>
      <c r="S19" s="140"/>
      <c r="T19" s="102"/>
      <c r="U19" s="102"/>
      <c r="V19" s="140"/>
      <c r="W19" s="102"/>
      <c r="X19" s="102"/>
      <c r="Y19" s="140"/>
      <c r="Z19" s="102"/>
      <c r="AA19" s="102"/>
      <c r="AB19" s="141"/>
      <c r="AC19" s="102"/>
      <c r="AD19" s="102"/>
      <c r="AE19" s="134"/>
      <c r="AF19" s="109">
        <v>14.0</v>
      </c>
      <c r="AG19" s="106">
        <v>27.0</v>
      </c>
      <c r="AH19" s="106">
        <v>27.0</v>
      </c>
      <c r="AI19" s="106">
        <v>25.0</v>
      </c>
      <c r="AJ19" s="106">
        <v>16.0</v>
      </c>
      <c r="AK19" s="134"/>
    </row>
    <row r="20">
      <c r="A20" s="101" t="s">
        <v>223</v>
      </c>
      <c r="B20" s="101"/>
      <c r="C20" s="101">
        <v>81.0</v>
      </c>
      <c r="D20" s="101">
        <v>2.0</v>
      </c>
      <c r="E20" s="101">
        <v>5.0</v>
      </c>
      <c r="F20" s="101">
        <v>5.0</v>
      </c>
      <c r="G20" s="102">
        <f t="shared" si="4"/>
        <v>405</v>
      </c>
      <c r="H20" s="102">
        <f t="shared" si="5"/>
        <v>405</v>
      </c>
      <c r="I20" s="101">
        <v>6.0</v>
      </c>
      <c r="J20" s="102">
        <f t="shared" ref="J20:J22" si="9">ROUNDDOWN(C20/I20,0)</f>
        <v>13</v>
      </c>
      <c r="K20" s="136">
        <f>IFERROR(__xludf.DUMMYFUNCTION("TO_PERCENT(C20/I20-J20)"),0.5)</f>
        <v>0.5</v>
      </c>
      <c r="L20" s="101">
        <v>50.0</v>
      </c>
      <c r="M20" s="102">
        <f t="shared" ref="M20:M22" si="10">ROUNDDOWN(C20/L20,0)</f>
        <v>1</v>
      </c>
      <c r="N20" s="136">
        <f>IFERROR(__xludf.DUMMYFUNCTION("TO_PERCENT(C20/L20-M20)"),0.6200000000000001)</f>
        <v>0.62</v>
      </c>
      <c r="O20" s="101">
        <v>8000.0</v>
      </c>
      <c r="P20" s="102">
        <f t="shared" ref="P20:P22" si="11">ROUNDDOWN($C20*$AJ$6/$AG$6/O20,0)</f>
        <v>0</v>
      </c>
      <c r="Q20" s="136">
        <f>IFERROR(__xludf.DUMMYFUNCTION("TO_PERCENT($C20*$AJ$6/$AG$6/O20-P20)"),0.0)</f>
        <v>0</v>
      </c>
      <c r="R20" s="102"/>
      <c r="S20" s="140"/>
      <c r="T20" s="102"/>
      <c r="U20" s="102"/>
      <c r="V20" s="140"/>
      <c r="W20" s="102"/>
      <c r="X20" s="102"/>
      <c r="Y20" s="140"/>
      <c r="Z20" s="102"/>
      <c r="AA20" s="102"/>
      <c r="AB20" s="141"/>
      <c r="AC20" s="102"/>
      <c r="AD20" s="102"/>
      <c r="AE20" s="134"/>
      <c r="AF20" s="109">
        <v>15.0</v>
      </c>
      <c r="AG20" s="106">
        <v>28.0</v>
      </c>
      <c r="AH20" s="106">
        <v>28.0</v>
      </c>
      <c r="AI20" s="106">
        <v>28.0</v>
      </c>
      <c r="AJ20" s="106">
        <v>18.0</v>
      </c>
      <c r="AK20" s="134"/>
    </row>
    <row r="21">
      <c r="A21" s="101" t="s">
        <v>1632</v>
      </c>
      <c r="B21" s="101"/>
      <c r="C21" s="101">
        <v>162.0</v>
      </c>
      <c r="D21" s="101">
        <v>0.0</v>
      </c>
      <c r="E21" s="101">
        <v>7.0</v>
      </c>
      <c r="F21" s="101">
        <v>7.0</v>
      </c>
      <c r="G21" s="102">
        <f t="shared" si="4"/>
        <v>1134</v>
      </c>
      <c r="H21" s="102">
        <f t="shared" si="5"/>
        <v>1134</v>
      </c>
      <c r="I21" s="101">
        <v>5.0</v>
      </c>
      <c r="J21" s="102">
        <f t="shared" si="9"/>
        <v>32</v>
      </c>
      <c r="K21" s="136">
        <f>IFERROR(__xludf.DUMMYFUNCTION("TO_PERCENT(C21/I21-J21)"),0.3999999999999986)</f>
        <v>0.4</v>
      </c>
      <c r="L21" s="101">
        <v>30.0</v>
      </c>
      <c r="M21" s="102">
        <f t="shared" si="10"/>
        <v>5</v>
      </c>
      <c r="N21" s="136">
        <f>IFERROR(__xludf.DUMMYFUNCTION("TO_PERCENT(C21/L21-M21)"),0.40000000000000036)</f>
        <v>0.4</v>
      </c>
      <c r="O21" s="101">
        <v>1600.0</v>
      </c>
      <c r="P21" s="102">
        <f t="shared" si="11"/>
        <v>0</v>
      </c>
      <c r="Q21" s="136">
        <f>IFERROR(__xludf.DUMMYFUNCTION("TO_PERCENT($C21*$AJ$6/$AG$6/O21-P21)"),0.0)</f>
        <v>0</v>
      </c>
      <c r="R21" s="102"/>
      <c r="S21" s="140"/>
      <c r="T21" s="102"/>
      <c r="U21" s="102"/>
      <c r="V21" s="140"/>
      <c r="W21" s="102"/>
      <c r="X21" s="102"/>
      <c r="Y21" s="140"/>
      <c r="Z21" s="102"/>
      <c r="AA21" s="102"/>
      <c r="AB21" s="141"/>
      <c r="AC21" s="102"/>
      <c r="AD21" s="102"/>
      <c r="AE21" s="134"/>
      <c r="AF21" s="134"/>
      <c r="AG21" s="134"/>
      <c r="AH21" s="134"/>
      <c r="AI21" s="134"/>
      <c r="AJ21" s="134"/>
      <c r="AK21" s="134"/>
    </row>
    <row r="22">
      <c r="A22" s="101" t="s">
        <v>1633</v>
      </c>
      <c r="B22" s="101"/>
      <c r="C22" s="101">
        <v>240.0</v>
      </c>
      <c r="D22" s="101">
        <v>0.0</v>
      </c>
      <c r="E22" s="101">
        <v>12.0</v>
      </c>
      <c r="F22" s="101">
        <v>12.0</v>
      </c>
      <c r="G22" s="102">
        <f t="shared" si="4"/>
        <v>2880</v>
      </c>
      <c r="H22" s="102">
        <f t="shared" si="5"/>
        <v>2880</v>
      </c>
      <c r="I22" s="101">
        <v>5.0</v>
      </c>
      <c r="J22" s="102">
        <f t="shared" si="9"/>
        <v>48</v>
      </c>
      <c r="K22" s="136">
        <f>IFERROR(__xludf.DUMMYFUNCTION("TO_PERCENT(C22/I22-J22)"),0.0)</f>
        <v>0</v>
      </c>
      <c r="L22" s="101">
        <v>15.0</v>
      </c>
      <c r="M22" s="102">
        <f t="shared" si="10"/>
        <v>16</v>
      </c>
      <c r="N22" s="136">
        <f>IFERROR(__xludf.DUMMYFUNCTION("TO_PERCENT(C22/L22-M22)"),0.0)</f>
        <v>0</v>
      </c>
      <c r="O22" s="101">
        <v>400.0</v>
      </c>
      <c r="P22" s="102">
        <f t="shared" si="11"/>
        <v>0</v>
      </c>
      <c r="Q22" s="136">
        <f>IFERROR(__xludf.DUMMYFUNCTION("TO_PERCENT($C22*$AJ$6/$AG$6/O22-P22)"),0.0)</f>
        <v>0</v>
      </c>
      <c r="R22" s="102"/>
      <c r="S22" s="140"/>
      <c r="T22" s="102"/>
      <c r="U22" s="102"/>
      <c r="V22" s="140"/>
      <c r="W22" s="102"/>
      <c r="X22" s="102"/>
      <c r="Y22" s="140"/>
      <c r="Z22" s="102"/>
      <c r="AA22" s="102"/>
      <c r="AB22" s="141"/>
      <c r="AC22" s="102"/>
      <c r="AD22" s="102"/>
      <c r="AE22" s="134"/>
      <c r="AF22" s="134"/>
      <c r="AG22" s="134"/>
      <c r="AH22" s="134"/>
      <c r="AI22" s="134"/>
      <c r="AJ22" s="134"/>
      <c r="AK22" s="134"/>
    </row>
    <row r="23">
      <c r="A23" s="101" t="s">
        <v>1634</v>
      </c>
      <c r="B23" s="101" t="s">
        <v>1622</v>
      </c>
      <c r="C23" s="101">
        <v>0.0</v>
      </c>
      <c r="D23" s="101">
        <v>0.0</v>
      </c>
      <c r="E23" s="101"/>
      <c r="F23" s="101"/>
      <c r="G23" s="101">
        <v>100.0</v>
      </c>
      <c r="H23" s="101">
        <v>200.0</v>
      </c>
      <c r="I23" s="101"/>
      <c r="J23" s="102"/>
      <c r="K23" s="136"/>
      <c r="L23" s="101"/>
      <c r="M23" s="102"/>
      <c r="N23" s="136"/>
      <c r="O23" s="101"/>
      <c r="P23" s="102"/>
      <c r="Q23" s="136"/>
      <c r="R23" s="102"/>
      <c r="S23" s="140"/>
      <c r="T23" s="102"/>
      <c r="U23" s="102"/>
      <c r="V23" s="140"/>
      <c r="W23" s="102"/>
      <c r="X23" s="102"/>
      <c r="Y23" s="140"/>
      <c r="Z23" s="102"/>
      <c r="AA23" s="102"/>
      <c r="AB23" s="141"/>
      <c r="AC23" s="102"/>
      <c r="AD23" s="102"/>
      <c r="AE23" s="134"/>
      <c r="AF23" s="134"/>
      <c r="AG23" s="134"/>
      <c r="AH23" s="134"/>
      <c r="AI23" s="134"/>
      <c r="AJ23" s="134"/>
      <c r="AK23" s="134"/>
    </row>
    <row r="24">
      <c r="A24" s="101" t="s">
        <v>1635</v>
      </c>
      <c r="B24" s="101" t="s">
        <v>1625</v>
      </c>
      <c r="C24" s="101">
        <v>0.0</v>
      </c>
      <c r="D24" s="101">
        <v>0.0</v>
      </c>
      <c r="E24" s="101"/>
      <c r="F24" s="101"/>
      <c r="G24" s="101">
        <v>200.0</v>
      </c>
      <c r="H24" s="101">
        <v>500.0</v>
      </c>
      <c r="I24" s="101"/>
      <c r="J24" s="102"/>
      <c r="K24" s="136"/>
      <c r="L24" s="101"/>
      <c r="M24" s="102"/>
      <c r="N24" s="136"/>
      <c r="O24" s="101"/>
      <c r="P24" s="102"/>
      <c r="Q24" s="136"/>
      <c r="R24" s="102"/>
      <c r="S24" s="140"/>
      <c r="T24" s="102"/>
      <c r="U24" s="102"/>
      <c r="V24" s="140"/>
      <c r="W24" s="102"/>
      <c r="X24" s="102"/>
      <c r="Y24" s="140"/>
      <c r="Z24" s="102"/>
      <c r="AA24" s="102"/>
      <c r="AB24" s="141"/>
      <c r="AC24" s="102"/>
      <c r="AD24" s="102"/>
      <c r="AE24" s="134"/>
      <c r="AF24" s="134"/>
      <c r="AG24" s="134"/>
      <c r="AH24" s="134"/>
      <c r="AI24" s="134"/>
      <c r="AJ24" s="134"/>
      <c r="AK24" s="134"/>
    </row>
    <row r="25">
      <c r="A25" s="101" t="s">
        <v>1636</v>
      </c>
      <c r="B25" s="101" t="s">
        <v>1627</v>
      </c>
      <c r="C25" s="101">
        <v>0.0</v>
      </c>
      <c r="D25" s="101">
        <v>0.0</v>
      </c>
      <c r="E25" s="101"/>
      <c r="F25" s="101"/>
      <c r="G25" s="101">
        <v>500.0</v>
      </c>
      <c r="H25" s="101">
        <v>1500.0</v>
      </c>
      <c r="I25" s="101"/>
      <c r="J25" s="102"/>
      <c r="K25" s="136"/>
      <c r="L25" s="101"/>
      <c r="M25" s="102"/>
      <c r="N25" s="136"/>
      <c r="O25" s="101"/>
      <c r="P25" s="102"/>
      <c r="Q25" s="136"/>
      <c r="R25" s="102"/>
      <c r="S25" s="140"/>
      <c r="T25" s="102"/>
      <c r="U25" s="102"/>
      <c r="V25" s="140"/>
      <c r="W25" s="102"/>
      <c r="X25" s="102"/>
      <c r="Y25" s="140"/>
      <c r="Z25" s="102"/>
      <c r="AA25" s="102"/>
      <c r="AB25" s="141"/>
      <c r="AC25" s="102"/>
      <c r="AD25" s="102"/>
      <c r="AE25" s="134"/>
      <c r="AF25" s="134"/>
      <c r="AG25" s="134"/>
      <c r="AH25" s="134"/>
      <c r="AI25" s="134"/>
      <c r="AJ25" s="134"/>
      <c r="AK25" s="134"/>
    </row>
    <row r="26">
      <c r="A26" s="135" t="s">
        <v>1637</v>
      </c>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5"/>
      <c r="AE26" s="134"/>
      <c r="AF26" s="134"/>
      <c r="AG26" s="134"/>
      <c r="AH26" s="134"/>
      <c r="AI26" s="134"/>
      <c r="AJ26" s="134"/>
      <c r="AK26" s="134"/>
    </row>
    <row r="27">
      <c r="A27" s="101" t="s">
        <v>1621</v>
      </c>
      <c r="B27" s="101" t="s">
        <v>1622</v>
      </c>
      <c r="C27" s="101">
        <f t="shared" ref="C27:C29" si="12">ROUND(C12*1.35,0)</f>
        <v>5</v>
      </c>
      <c r="D27" s="101">
        <v>0.0</v>
      </c>
      <c r="E27" s="101">
        <v>7.0</v>
      </c>
      <c r="F27" s="101">
        <v>8.0</v>
      </c>
      <c r="G27" s="102">
        <f t="shared" ref="G27:G37" si="13">E27*C27</f>
        <v>35</v>
      </c>
      <c r="H27" s="102">
        <f t="shared" ref="H27:H37" si="14">F27*C27</f>
        <v>40</v>
      </c>
      <c r="I27" s="101">
        <v>9.0</v>
      </c>
      <c r="J27" s="102">
        <f t="shared" ref="J27:J33" si="15">ROUNDDOWN(C27/I27,0)</f>
        <v>0</v>
      </c>
      <c r="K27" s="136">
        <f>IFERROR(__xludf.DUMMYFUNCTION("TO_PERCENT(C27/I27-J27)"),0.5555555555555556)</f>
        <v>0.5555555556</v>
      </c>
      <c r="L27" s="101">
        <v>500.0</v>
      </c>
      <c r="M27" s="102">
        <f t="shared" ref="M27:M33" si="16">ROUNDDOWN(C27/L27,0)</f>
        <v>0</v>
      </c>
      <c r="N27" s="136">
        <f>IFERROR(__xludf.DUMMYFUNCTION("TO_PERCENT(C27/L27-M27)"),0.01)</f>
        <v>0.01</v>
      </c>
      <c r="O27" s="101">
        <v>10000.0</v>
      </c>
      <c r="P27" s="102">
        <f t="shared" ref="P27:P33" si="17">ROUNDDOWN($C27*$AJ$7/$AG$7/O27,0)</f>
        <v>0</v>
      </c>
      <c r="Q27" s="136">
        <f>IFERROR(__xludf.DUMMYFUNCTION("TO_PERCENT($C27*$AJ$7/$AG$7/O27-P27)"),0.0)</f>
        <v>0</v>
      </c>
      <c r="R27" s="102"/>
      <c r="S27" s="140"/>
      <c r="T27" s="102"/>
      <c r="U27" s="102"/>
      <c r="V27" s="140"/>
      <c r="W27" s="102"/>
      <c r="X27" s="102"/>
      <c r="Y27" s="140"/>
      <c r="Z27" s="102"/>
      <c r="AA27" s="102"/>
      <c r="AB27" s="141"/>
      <c r="AC27" s="102"/>
      <c r="AD27" s="102"/>
      <c r="AE27" s="134"/>
      <c r="AF27" s="134"/>
      <c r="AG27" s="134"/>
      <c r="AH27" s="134"/>
      <c r="AI27" s="134"/>
      <c r="AJ27" s="134"/>
      <c r="AK27" s="134"/>
    </row>
    <row r="28">
      <c r="A28" s="101" t="s">
        <v>1624</v>
      </c>
      <c r="B28" s="101" t="s">
        <v>1625</v>
      </c>
      <c r="C28" s="101">
        <f t="shared" si="12"/>
        <v>11</v>
      </c>
      <c r="D28" s="101">
        <v>0.0</v>
      </c>
      <c r="E28" s="101">
        <v>14.0</v>
      </c>
      <c r="F28" s="101">
        <v>16.0</v>
      </c>
      <c r="G28" s="102">
        <f t="shared" si="13"/>
        <v>154</v>
      </c>
      <c r="H28" s="102">
        <f t="shared" si="14"/>
        <v>176</v>
      </c>
      <c r="I28" s="101">
        <v>4.0</v>
      </c>
      <c r="J28" s="102">
        <f t="shared" si="15"/>
        <v>2</v>
      </c>
      <c r="K28" s="136">
        <f>IFERROR(__xludf.DUMMYFUNCTION("TO_PERCENT(C28/I28-J28)"),0.75)</f>
        <v>0.75</v>
      </c>
      <c r="L28" s="101">
        <v>200.0</v>
      </c>
      <c r="M28" s="102">
        <f t="shared" si="16"/>
        <v>0</v>
      </c>
      <c r="N28" s="136">
        <f>IFERROR(__xludf.DUMMYFUNCTION("TO_PERCENT(C28/L28-M28)"),0.055)</f>
        <v>0.055</v>
      </c>
      <c r="O28" s="101">
        <v>4000.0</v>
      </c>
      <c r="P28" s="102">
        <f t="shared" si="17"/>
        <v>0</v>
      </c>
      <c r="Q28" s="136">
        <f>IFERROR(__xludf.DUMMYFUNCTION("TO_PERCENT($C28*$AJ$7/$AG$7/O28-P28)"),0.0)</f>
        <v>0</v>
      </c>
      <c r="R28" s="102"/>
      <c r="S28" s="140"/>
      <c r="T28" s="102"/>
      <c r="U28" s="102"/>
      <c r="V28" s="140"/>
      <c r="W28" s="102"/>
      <c r="X28" s="102"/>
      <c r="Y28" s="140"/>
      <c r="Z28" s="102"/>
      <c r="AA28" s="102"/>
      <c r="AB28" s="141"/>
      <c r="AC28" s="102"/>
      <c r="AD28" s="102"/>
      <c r="AE28" s="134"/>
      <c r="AF28" s="134"/>
      <c r="AG28" s="134"/>
      <c r="AH28" s="134"/>
      <c r="AI28" s="134"/>
      <c r="AJ28" s="134"/>
      <c r="AK28" s="134"/>
    </row>
    <row r="29">
      <c r="A29" s="101" t="s">
        <v>1626</v>
      </c>
      <c r="B29" s="101" t="s">
        <v>1627</v>
      </c>
      <c r="C29" s="101">
        <f t="shared" si="12"/>
        <v>27</v>
      </c>
      <c r="D29" s="101">
        <v>0.0</v>
      </c>
      <c r="E29" s="101">
        <v>16.0</v>
      </c>
      <c r="F29" s="101">
        <v>16.0</v>
      </c>
      <c r="G29" s="102">
        <f t="shared" si="13"/>
        <v>432</v>
      </c>
      <c r="H29" s="102">
        <f t="shared" si="14"/>
        <v>432</v>
      </c>
      <c r="I29" s="101">
        <v>5.0</v>
      </c>
      <c r="J29" s="102">
        <f t="shared" si="15"/>
        <v>5</v>
      </c>
      <c r="K29" s="136">
        <f>IFERROR(__xludf.DUMMYFUNCTION("TO_PERCENT(C29/I29-J29)"),0.40000000000000036)</f>
        <v>0.4</v>
      </c>
      <c r="L29" s="101">
        <v>10.0</v>
      </c>
      <c r="M29" s="102">
        <f t="shared" si="16"/>
        <v>2</v>
      </c>
      <c r="N29" s="136">
        <f>IFERROR(__xludf.DUMMYFUNCTION("TO_PERCENT(C29/L29-M29)"),0.7000000000000002)</f>
        <v>0.7</v>
      </c>
      <c r="O29" s="101">
        <v>300.0</v>
      </c>
      <c r="P29" s="102">
        <f t="shared" si="17"/>
        <v>0</v>
      </c>
      <c r="Q29" s="136">
        <f>IFERROR(__xludf.DUMMYFUNCTION("TO_PERCENT($C29*$AJ$7/$AG$7/O29-P29)"),0.0)</f>
        <v>0</v>
      </c>
      <c r="R29" s="102"/>
      <c r="S29" s="140"/>
      <c r="T29" s="102"/>
      <c r="U29" s="102"/>
      <c r="V29" s="140"/>
      <c r="W29" s="102"/>
      <c r="X29" s="102"/>
      <c r="Y29" s="140"/>
      <c r="Z29" s="102"/>
      <c r="AA29" s="102"/>
      <c r="AB29" s="141"/>
      <c r="AC29" s="102"/>
      <c r="AD29" s="102"/>
      <c r="AE29" s="134"/>
      <c r="AF29" s="134"/>
      <c r="AG29" s="134"/>
      <c r="AH29" s="134"/>
      <c r="AI29" s="134"/>
      <c r="AJ29" s="134"/>
      <c r="AK29" s="134"/>
    </row>
    <row r="30">
      <c r="A30" s="101" t="s">
        <v>1628</v>
      </c>
      <c r="B30" s="102"/>
      <c r="C30" s="101">
        <v>4.0</v>
      </c>
      <c r="D30" s="101">
        <v>0.0</v>
      </c>
      <c r="E30" s="101">
        <v>7.0</v>
      </c>
      <c r="F30" s="101">
        <v>8.0</v>
      </c>
      <c r="G30" s="102">
        <f t="shared" si="13"/>
        <v>28</v>
      </c>
      <c r="H30" s="102">
        <f t="shared" si="14"/>
        <v>32</v>
      </c>
      <c r="I30" s="101">
        <v>10.0</v>
      </c>
      <c r="J30" s="102">
        <f t="shared" si="15"/>
        <v>0</v>
      </c>
      <c r="K30" s="136">
        <f>IFERROR(__xludf.DUMMYFUNCTION("TO_PERCENT(C30/I30-J30)"),0.4)</f>
        <v>0.4</v>
      </c>
      <c r="L30" s="101">
        <v>200.0</v>
      </c>
      <c r="M30" s="102">
        <f t="shared" si="16"/>
        <v>0</v>
      </c>
      <c r="N30" s="136">
        <f>IFERROR(__xludf.DUMMYFUNCTION("TO_PERCENT(C30/L30-M30)"),0.02)</f>
        <v>0.02</v>
      </c>
      <c r="O30" s="101">
        <v>4000.0</v>
      </c>
      <c r="P30" s="102">
        <f t="shared" si="17"/>
        <v>0</v>
      </c>
      <c r="Q30" s="136">
        <f>IFERROR(__xludf.DUMMYFUNCTION("TO_PERCENT($C30*$AJ$7/$AG$7/O30-P30)"),0.0)</f>
        <v>0</v>
      </c>
      <c r="R30" s="102"/>
      <c r="S30" s="140"/>
      <c r="T30" s="102"/>
      <c r="U30" s="102"/>
      <c r="V30" s="140"/>
      <c r="W30" s="102"/>
      <c r="X30" s="102"/>
      <c r="Y30" s="140"/>
      <c r="Z30" s="102"/>
      <c r="AA30" s="102"/>
      <c r="AB30" s="141"/>
      <c r="AC30" s="102"/>
      <c r="AD30" s="102"/>
      <c r="AE30" s="134"/>
      <c r="AF30" s="134"/>
      <c r="AG30" s="134"/>
      <c r="AH30" s="134"/>
      <c r="AI30" s="134"/>
      <c r="AJ30" s="134"/>
      <c r="AK30" s="134"/>
    </row>
    <row r="31">
      <c r="A31" s="101" t="s">
        <v>1629</v>
      </c>
      <c r="B31" s="102"/>
      <c r="C31" s="101">
        <f t="shared" ref="C31:C33" si="18">ROUND(C16*1.35,0)</f>
        <v>22</v>
      </c>
      <c r="D31" s="101">
        <v>0.0</v>
      </c>
      <c r="E31" s="101">
        <v>14.0</v>
      </c>
      <c r="F31" s="101">
        <v>16.0</v>
      </c>
      <c r="G31" s="102">
        <f t="shared" si="13"/>
        <v>308</v>
      </c>
      <c r="H31" s="102">
        <f t="shared" si="14"/>
        <v>352</v>
      </c>
      <c r="I31" s="101">
        <v>6.0</v>
      </c>
      <c r="J31" s="102">
        <f t="shared" si="15"/>
        <v>3</v>
      </c>
      <c r="K31" s="136">
        <f>IFERROR(__xludf.DUMMYFUNCTION("TO_PERCENT(C31/I31-J31)"),0.6666666666666665)</f>
        <v>0.6666666667</v>
      </c>
      <c r="L31" s="101">
        <v>120.0</v>
      </c>
      <c r="M31" s="102">
        <f t="shared" si="16"/>
        <v>0</v>
      </c>
      <c r="N31" s="136">
        <f>IFERROR(__xludf.DUMMYFUNCTION("TO_PERCENT(C31/L31-M31)"),0.18333333333333332)</f>
        <v>0.1833333333</v>
      </c>
      <c r="O31" s="101">
        <v>2400.0</v>
      </c>
      <c r="P31" s="102">
        <f t="shared" si="17"/>
        <v>0</v>
      </c>
      <c r="Q31" s="136">
        <f>IFERROR(__xludf.DUMMYFUNCTION("TO_PERCENT($C31*$AJ$7/$AG$7/O31-P31)"),0.0)</f>
        <v>0</v>
      </c>
      <c r="R31" s="102"/>
      <c r="S31" s="140"/>
      <c r="T31" s="102"/>
      <c r="U31" s="102"/>
      <c r="V31" s="140"/>
      <c r="W31" s="102"/>
      <c r="X31" s="102"/>
      <c r="Y31" s="140"/>
      <c r="Z31" s="102"/>
      <c r="AA31" s="102"/>
      <c r="AB31" s="141"/>
      <c r="AC31" s="102"/>
      <c r="AD31" s="102"/>
      <c r="AE31" s="134"/>
      <c r="AF31" s="134"/>
      <c r="AG31" s="134"/>
      <c r="AH31" s="134"/>
      <c r="AI31" s="134"/>
      <c r="AJ31" s="134"/>
      <c r="AK31" s="134"/>
    </row>
    <row r="32">
      <c r="A32" s="101" t="s">
        <v>107</v>
      </c>
      <c r="B32" s="101" t="s">
        <v>1627</v>
      </c>
      <c r="C32" s="101">
        <f t="shared" si="18"/>
        <v>95</v>
      </c>
      <c r="D32" s="101">
        <v>0.0</v>
      </c>
      <c r="E32" s="101">
        <v>9.0</v>
      </c>
      <c r="F32" s="101">
        <v>9.0</v>
      </c>
      <c r="G32" s="102">
        <f t="shared" si="13"/>
        <v>855</v>
      </c>
      <c r="H32" s="102">
        <f t="shared" si="14"/>
        <v>855</v>
      </c>
      <c r="I32" s="101">
        <v>5.0</v>
      </c>
      <c r="J32" s="102">
        <f t="shared" si="15"/>
        <v>19</v>
      </c>
      <c r="K32" s="136">
        <f>IFERROR(__xludf.DUMMYFUNCTION("TO_PERCENT(C32/I32-J32)"),0.0)</f>
        <v>0</v>
      </c>
      <c r="L32" s="101">
        <v>500.0</v>
      </c>
      <c r="M32" s="102">
        <f t="shared" si="16"/>
        <v>0</v>
      </c>
      <c r="N32" s="136">
        <f>IFERROR(__xludf.DUMMYFUNCTION("TO_PERCENT(C32/L32-M32)"),0.19)</f>
        <v>0.19</v>
      </c>
      <c r="O32" s="101">
        <v>10000.0</v>
      </c>
      <c r="P32" s="102">
        <f t="shared" si="17"/>
        <v>0</v>
      </c>
      <c r="Q32" s="136">
        <f>IFERROR(__xludf.DUMMYFUNCTION("TO_PERCENT($C32*$AJ$7/$AG$7/O32-P32)"),0.0)</f>
        <v>0</v>
      </c>
      <c r="R32" s="102"/>
      <c r="S32" s="140"/>
      <c r="T32" s="102"/>
      <c r="U32" s="102"/>
      <c r="V32" s="140"/>
      <c r="W32" s="102"/>
      <c r="X32" s="102"/>
      <c r="Y32" s="140"/>
      <c r="Z32" s="102"/>
      <c r="AA32" s="102"/>
      <c r="AB32" s="141"/>
      <c r="AC32" s="102"/>
      <c r="AD32" s="102"/>
      <c r="AE32" s="134"/>
      <c r="AF32" s="134"/>
      <c r="AG32" s="134"/>
      <c r="AH32" s="134"/>
      <c r="AI32" s="134"/>
      <c r="AJ32" s="134"/>
      <c r="AK32" s="134"/>
    </row>
    <row r="33">
      <c r="A33" s="101" t="s">
        <v>1630</v>
      </c>
      <c r="B33" s="101" t="s">
        <v>1631</v>
      </c>
      <c r="C33" s="101">
        <f t="shared" si="18"/>
        <v>243</v>
      </c>
      <c r="D33" s="101">
        <v>3.0</v>
      </c>
      <c r="E33" s="101">
        <v>9.0</v>
      </c>
      <c r="F33" s="101">
        <v>9.0</v>
      </c>
      <c r="G33" s="102">
        <f t="shared" si="13"/>
        <v>2187</v>
      </c>
      <c r="H33" s="102">
        <f t="shared" si="14"/>
        <v>2187</v>
      </c>
      <c r="I33" s="101">
        <v>5.0</v>
      </c>
      <c r="J33" s="102">
        <f t="shared" si="15"/>
        <v>48</v>
      </c>
      <c r="K33" s="136">
        <f>IFERROR(__xludf.DUMMYFUNCTION("TO_PERCENT(C33/I33-J33)"),0.6000000000000014)</f>
        <v>0.6</v>
      </c>
      <c r="L33" s="101">
        <v>30.0</v>
      </c>
      <c r="M33" s="102">
        <f t="shared" si="16"/>
        <v>8</v>
      </c>
      <c r="N33" s="136">
        <f>IFERROR(__xludf.DUMMYFUNCTION("TO_PERCENT(C33/L33-M33)"),0.09999999999999964)</f>
        <v>0.1</v>
      </c>
      <c r="O33" s="101">
        <v>600.0</v>
      </c>
      <c r="P33" s="102">
        <f t="shared" si="17"/>
        <v>0</v>
      </c>
      <c r="Q33" s="136">
        <f>IFERROR(__xludf.DUMMYFUNCTION("TO_PERCENT($C33*$AJ$7/$AG$7/O33-P33)"),0.0)</f>
        <v>0</v>
      </c>
      <c r="R33" s="102"/>
      <c r="S33" s="140"/>
      <c r="T33" s="102"/>
      <c r="U33" s="102"/>
      <c r="V33" s="140"/>
      <c r="W33" s="102"/>
      <c r="X33" s="102"/>
      <c r="Y33" s="140"/>
      <c r="Z33" s="102"/>
      <c r="AA33" s="102"/>
      <c r="AB33" s="141"/>
      <c r="AC33" s="102"/>
      <c r="AD33" s="102"/>
      <c r="AE33" s="134"/>
      <c r="AF33" s="134"/>
      <c r="AG33" s="134"/>
      <c r="AH33" s="134"/>
      <c r="AI33" s="134"/>
      <c r="AJ33" s="134"/>
      <c r="AK33" s="134"/>
    </row>
    <row r="34">
      <c r="A34" s="101" t="s">
        <v>131</v>
      </c>
      <c r="B34" s="101" t="s">
        <v>1627</v>
      </c>
      <c r="C34" s="101">
        <v>8.0</v>
      </c>
      <c r="D34" s="101">
        <v>0.0</v>
      </c>
      <c r="E34" s="101">
        <v>0.0</v>
      </c>
      <c r="F34" s="101">
        <v>0.0</v>
      </c>
      <c r="G34" s="102">
        <f t="shared" si="13"/>
        <v>0</v>
      </c>
      <c r="H34" s="102">
        <f t="shared" si="14"/>
        <v>0</v>
      </c>
      <c r="I34" s="104">
        <v>0.0</v>
      </c>
      <c r="J34" s="101">
        <v>0.0</v>
      </c>
      <c r="K34" s="136">
        <v>0.0</v>
      </c>
      <c r="L34" s="101">
        <v>1.0</v>
      </c>
      <c r="M34" s="101">
        <v>8.0</v>
      </c>
      <c r="N34" s="136">
        <v>0.0</v>
      </c>
      <c r="O34" s="104">
        <v>0.0</v>
      </c>
      <c r="P34" s="101">
        <v>0.0</v>
      </c>
      <c r="Q34" s="136">
        <v>0.0</v>
      </c>
      <c r="R34" s="102"/>
      <c r="S34" s="140"/>
      <c r="T34" s="102"/>
      <c r="U34" s="102"/>
      <c r="V34" s="140"/>
      <c r="W34" s="102"/>
      <c r="X34" s="102"/>
      <c r="Y34" s="140"/>
      <c r="Z34" s="102"/>
      <c r="AA34" s="102"/>
      <c r="AB34" s="141"/>
      <c r="AC34" s="102"/>
      <c r="AD34" s="102"/>
      <c r="AE34" s="134"/>
      <c r="AF34" s="134"/>
      <c r="AG34" s="134"/>
      <c r="AH34" s="134"/>
      <c r="AI34" s="134"/>
      <c r="AJ34" s="134"/>
      <c r="AK34" s="134"/>
    </row>
    <row r="35">
      <c r="A35" s="101" t="s">
        <v>223</v>
      </c>
      <c r="B35" s="101"/>
      <c r="C35" s="101">
        <v>85.0</v>
      </c>
      <c r="D35" s="101">
        <v>2.0</v>
      </c>
      <c r="E35" s="101">
        <v>5.0</v>
      </c>
      <c r="F35" s="101">
        <v>5.0</v>
      </c>
      <c r="G35" s="102">
        <f t="shared" si="13"/>
        <v>425</v>
      </c>
      <c r="H35" s="102">
        <f t="shared" si="14"/>
        <v>425</v>
      </c>
      <c r="I35" s="101">
        <v>6.0</v>
      </c>
      <c r="J35" s="102">
        <f t="shared" ref="J35:J37" si="19">ROUNDDOWN(C35/I35,0)</f>
        <v>14</v>
      </c>
      <c r="K35" s="136">
        <f>IFERROR(__xludf.DUMMYFUNCTION("TO_PERCENT(C35/I35-J35)"),0.16666666666666607)</f>
        <v>0.1666666667</v>
      </c>
      <c r="L35" s="101">
        <v>50.0</v>
      </c>
      <c r="M35" s="102">
        <f t="shared" ref="M35:M37" si="20">ROUNDDOWN(C35/L35,0)</f>
        <v>1</v>
      </c>
      <c r="N35" s="136">
        <f>IFERROR(__xludf.DUMMYFUNCTION("TO_PERCENT(C35/L35-M35)"),0.7)</f>
        <v>0.7</v>
      </c>
      <c r="O35" s="101">
        <v>8000.0</v>
      </c>
      <c r="P35" s="102">
        <f t="shared" ref="P35:P37" si="21">ROUNDDOWN($C35*$AJ$7/$AG$7/O35,0)</f>
        <v>0</v>
      </c>
      <c r="Q35" s="136">
        <f>IFERROR(__xludf.DUMMYFUNCTION("TO_PERCENT($C35*$AJ$7/$AG$7/O35-P35)"),0.0)</f>
        <v>0</v>
      </c>
      <c r="R35" s="102"/>
      <c r="S35" s="140"/>
      <c r="T35" s="102"/>
      <c r="U35" s="102"/>
      <c r="V35" s="140"/>
      <c r="W35" s="102"/>
      <c r="X35" s="102"/>
      <c r="Y35" s="140"/>
      <c r="Z35" s="102"/>
      <c r="AA35" s="102"/>
      <c r="AB35" s="141"/>
      <c r="AC35" s="102"/>
      <c r="AD35" s="102"/>
      <c r="AE35" s="134"/>
      <c r="AF35" s="134"/>
      <c r="AG35" s="134"/>
      <c r="AH35" s="134"/>
      <c r="AI35" s="134"/>
      <c r="AJ35" s="134"/>
      <c r="AK35" s="134"/>
    </row>
    <row r="36">
      <c r="A36" s="101" t="s">
        <v>1632</v>
      </c>
      <c r="B36" s="101"/>
      <c r="C36" s="101">
        <v>170.0</v>
      </c>
      <c r="D36" s="101">
        <v>0.0</v>
      </c>
      <c r="E36" s="101">
        <v>7.0</v>
      </c>
      <c r="F36" s="101">
        <v>7.0</v>
      </c>
      <c r="G36" s="102">
        <f t="shared" si="13"/>
        <v>1190</v>
      </c>
      <c r="H36" s="102">
        <f t="shared" si="14"/>
        <v>1190</v>
      </c>
      <c r="I36" s="101">
        <v>5.0</v>
      </c>
      <c r="J36" s="102">
        <f t="shared" si="19"/>
        <v>34</v>
      </c>
      <c r="K36" s="136">
        <f>IFERROR(__xludf.DUMMYFUNCTION("TO_PERCENT(C36/I36-J36)"),0.0)</f>
        <v>0</v>
      </c>
      <c r="L36" s="101">
        <v>30.0</v>
      </c>
      <c r="M36" s="102">
        <f t="shared" si="20"/>
        <v>5</v>
      </c>
      <c r="N36" s="136">
        <f>IFERROR(__xludf.DUMMYFUNCTION("TO_PERCENT(C36/L36-M36)"),0.666666666666667)</f>
        <v>0.6666666667</v>
      </c>
      <c r="O36" s="101">
        <v>1600.0</v>
      </c>
      <c r="P36" s="102">
        <f t="shared" si="21"/>
        <v>0</v>
      </c>
      <c r="Q36" s="136">
        <f>IFERROR(__xludf.DUMMYFUNCTION("TO_PERCENT($C36*$AJ$7/$AG$7/O36-P36)"),0.0)</f>
        <v>0</v>
      </c>
      <c r="R36" s="102"/>
      <c r="S36" s="140"/>
      <c r="T36" s="102"/>
      <c r="U36" s="102"/>
      <c r="V36" s="140"/>
      <c r="W36" s="102"/>
      <c r="X36" s="102"/>
      <c r="Y36" s="140"/>
      <c r="Z36" s="102"/>
      <c r="AA36" s="102"/>
      <c r="AB36" s="141"/>
      <c r="AC36" s="102"/>
      <c r="AD36" s="102"/>
      <c r="AE36" s="134"/>
      <c r="AF36" s="134"/>
      <c r="AG36" s="134"/>
      <c r="AH36" s="134"/>
      <c r="AI36" s="134"/>
      <c r="AJ36" s="134"/>
      <c r="AK36" s="134"/>
    </row>
    <row r="37">
      <c r="A37" s="101" t="s">
        <v>1633</v>
      </c>
      <c r="B37" s="101"/>
      <c r="C37" s="101">
        <v>250.0</v>
      </c>
      <c r="D37" s="101">
        <v>0.0</v>
      </c>
      <c r="E37" s="101">
        <v>12.0</v>
      </c>
      <c r="F37" s="101">
        <v>12.0</v>
      </c>
      <c r="G37" s="102">
        <f t="shared" si="13"/>
        <v>3000</v>
      </c>
      <c r="H37" s="102">
        <f t="shared" si="14"/>
        <v>3000</v>
      </c>
      <c r="I37" s="101">
        <v>5.0</v>
      </c>
      <c r="J37" s="102">
        <f t="shared" si="19"/>
        <v>50</v>
      </c>
      <c r="K37" s="136">
        <f>IFERROR(__xludf.DUMMYFUNCTION("TO_PERCENT(C37/I37-J37)"),0.0)</f>
        <v>0</v>
      </c>
      <c r="L37" s="101">
        <v>15.0</v>
      </c>
      <c r="M37" s="102">
        <f t="shared" si="20"/>
        <v>16</v>
      </c>
      <c r="N37" s="136">
        <f>IFERROR(__xludf.DUMMYFUNCTION("TO_PERCENT(C37/L37-M37)"),0.6666666666666679)</f>
        <v>0.6666666667</v>
      </c>
      <c r="O37" s="101">
        <v>400.0</v>
      </c>
      <c r="P37" s="102">
        <f t="shared" si="21"/>
        <v>0</v>
      </c>
      <c r="Q37" s="136">
        <f>IFERROR(__xludf.DUMMYFUNCTION("TO_PERCENT($C37*$AJ$7/$AG$7/O37-P37)"),0.0)</f>
        <v>0</v>
      </c>
      <c r="R37" s="102"/>
      <c r="S37" s="140"/>
      <c r="T37" s="102"/>
      <c r="U37" s="102"/>
      <c r="V37" s="140"/>
      <c r="W37" s="102"/>
      <c r="X37" s="102"/>
      <c r="Y37" s="140"/>
      <c r="Z37" s="102"/>
      <c r="AA37" s="102"/>
      <c r="AB37" s="141"/>
      <c r="AC37" s="102"/>
      <c r="AD37" s="102"/>
      <c r="AE37" s="134"/>
      <c r="AF37" s="134"/>
      <c r="AG37" s="134"/>
      <c r="AH37" s="134"/>
      <c r="AI37" s="134"/>
      <c r="AJ37" s="134"/>
      <c r="AK37" s="134"/>
    </row>
    <row r="38">
      <c r="A38" s="101" t="s">
        <v>1634</v>
      </c>
      <c r="B38" s="101" t="s">
        <v>1622</v>
      </c>
      <c r="C38" s="101">
        <v>0.0</v>
      </c>
      <c r="D38" s="101">
        <v>0.0</v>
      </c>
      <c r="E38" s="101"/>
      <c r="F38" s="101"/>
      <c r="G38" s="104">
        <v>100.0</v>
      </c>
      <c r="H38" s="101">
        <v>200.0</v>
      </c>
      <c r="I38" s="101"/>
      <c r="J38" s="102"/>
      <c r="K38" s="136"/>
      <c r="L38" s="101"/>
      <c r="M38" s="102"/>
      <c r="N38" s="136"/>
      <c r="O38" s="101"/>
      <c r="P38" s="102"/>
      <c r="Q38" s="136"/>
      <c r="R38" s="102"/>
      <c r="S38" s="140"/>
      <c r="T38" s="102"/>
      <c r="U38" s="102"/>
      <c r="V38" s="140"/>
      <c r="W38" s="102"/>
      <c r="X38" s="102"/>
      <c r="Y38" s="140"/>
      <c r="Z38" s="102"/>
      <c r="AA38" s="102"/>
      <c r="AB38" s="141"/>
      <c r="AC38" s="102"/>
      <c r="AD38" s="102"/>
      <c r="AE38" s="134"/>
      <c r="AF38" s="134"/>
      <c r="AG38" s="134"/>
      <c r="AH38" s="134"/>
      <c r="AI38" s="134"/>
      <c r="AJ38" s="134"/>
      <c r="AK38" s="134"/>
    </row>
    <row r="39">
      <c r="A39" s="101" t="s">
        <v>1635</v>
      </c>
      <c r="B39" s="101" t="s">
        <v>1625</v>
      </c>
      <c r="C39" s="101">
        <v>0.0</v>
      </c>
      <c r="D39" s="101">
        <v>0.0</v>
      </c>
      <c r="E39" s="101"/>
      <c r="F39" s="101"/>
      <c r="G39" s="104">
        <v>200.0</v>
      </c>
      <c r="H39" s="101">
        <v>500.0</v>
      </c>
      <c r="I39" s="101"/>
      <c r="J39" s="102"/>
      <c r="K39" s="136"/>
      <c r="L39" s="101"/>
      <c r="M39" s="102"/>
      <c r="N39" s="136"/>
      <c r="O39" s="101"/>
      <c r="P39" s="102"/>
      <c r="Q39" s="136"/>
      <c r="R39" s="102"/>
      <c r="S39" s="140"/>
      <c r="T39" s="102"/>
      <c r="U39" s="102"/>
      <c r="V39" s="140"/>
      <c r="W39" s="102"/>
      <c r="X39" s="102"/>
      <c r="Y39" s="140"/>
      <c r="Z39" s="102"/>
      <c r="AA39" s="102"/>
      <c r="AB39" s="141"/>
      <c r="AC39" s="102"/>
      <c r="AD39" s="102"/>
      <c r="AE39" s="134"/>
      <c r="AF39" s="134"/>
      <c r="AG39" s="134"/>
      <c r="AH39" s="134"/>
      <c r="AI39" s="134"/>
      <c r="AJ39" s="134"/>
      <c r="AK39" s="134"/>
    </row>
    <row r="40">
      <c r="A40" s="101" t="s">
        <v>1636</v>
      </c>
      <c r="B40" s="101" t="s">
        <v>1627</v>
      </c>
      <c r="C40" s="101">
        <v>0.0</v>
      </c>
      <c r="D40" s="101">
        <v>0.0</v>
      </c>
      <c r="E40" s="101"/>
      <c r="F40" s="101"/>
      <c r="G40" s="104">
        <v>500.0</v>
      </c>
      <c r="H40" s="101">
        <v>1500.0</v>
      </c>
      <c r="I40" s="101"/>
      <c r="J40" s="102"/>
      <c r="K40" s="136"/>
      <c r="L40" s="101"/>
      <c r="M40" s="102"/>
      <c r="N40" s="136"/>
      <c r="O40" s="101"/>
      <c r="P40" s="102"/>
      <c r="Q40" s="136"/>
      <c r="R40" s="102"/>
      <c r="S40" s="140"/>
      <c r="T40" s="102"/>
      <c r="U40" s="102"/>
      <c r="V40" s="140"/>
      <c r="W40" s="102"/>
      <c r="X40" s="102"/>
      <c r="Y40" s="140"/>
      <c r="Z40" s="102"/>
      <c r="AA40" s="102"/>
      <c r="AB40" s="141"/>
      <c r="AC40" s="102"/>
      <c r="AD40" s="102"/>
      <c r="AE40" s="134"/>
      <c r="AF40" s="134"/>
      <c r="AG40" s="134"/>
      <c r="AH40" s="134"/>
      <c r="AI40" s="134"/>
      <c r="AJ40" s="134"/>
      <c r="AK40" s="134"/>
    </row>
    <row r="41">
      <c r="A41" s="135" t="s">
        <v>1638</v>
      </c>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5"/>
      <c r="AE41" s="134"/>
      <c r="AF41" s="134"/>
      <c r="AG41" s="134"/>
      <c r="AH41" s="134"/>
      <c r="AI41" s="134"/>
      <c r="AJ41" s="134"/>
      <c r="AK41" s="134"/>
    </row>
    <row r="42">
      <c r="A42" s="101" t="s">
        <v>1621</v>
      </c>
      <c r="B42" s="101" t="s">
        <v>1622</v>
      </c>
      <c r="C42" s="101">
        <f t="shared" ref="C42:C44" si="22">ROUND(C12*1.7,0)</f>
        <v>7</v>
      </c>
      <c r="D42" s="101">
        <v>0.0</v>
      </c>
      <c r="E42" s="101">
        <v>7.0</v>
      </c>
      <c r="F42" s="101">
        <v>8.0</v>
      </c>
      <c r="G42" s="102">
        <f t="shared" ref="G42:G52" si="23">E42*C42</f>
        <v>49</v>
      </c>
      <c r="H42" s="102">
        <f t="shared" ref="H42:H52" si="24">F42*C42</f>
        <v>56</v>
      </c>
      <c r="I42" s="101">
        <v>9.0</v>
      </c>
      <c r="J42" s="102">
        <f t="shared" ref="J42:J48" si="25">ROUNDDOWN(C42/I42,0)</f>
        <v>0</v>
      </c>
      <c r="K42" s="136">
        <f>IFERROR(__xludf.DUMMYFUNCTION("TO_PERCENT(C42/I42-J42)"),0.7777777777777778)</f>
        <v>0.7777777778</v>
      </c>
      <c r="L42" s="101">
        <v>500.0</v>
      </c>
      <c r="M42" s="102">
        <f t="shared" ref="M42:M48" si="26">ROUNDDOWN(C42/L42,0)</f>
        <v>0</v>
      </c>
      <c r="N42" s="136">
        <f>IFERROR(__xludf.DUMMYFUNCTION("TO_PERCENT(C42/L42-M42)"),0.014)</f>
        <v>0.014</v>
      </c>
      <c r="O42" s="101">
        <v>10000.0</v>
      </c>
      <c r="P42" s="102">
        <f t="shared" ref="P42:P48" si="27">ROUNDDOWN($C42*$AJ$8/$AG$8/O42,0)</f>
        <v>0</v>
      </c>
      <c r="Q42" s="136">
        <f>IFERROR(__xludf.DUMMYFUNCTION("TO_PERCENT($C42*$AJ$8/$AG$8/O42-P42)"),0.0)</f>
        <v>0</v>
      </c>
      <c r="R42" s="102"/>
      <c r="S42" s="140"/>
      <c r="T42" s="102"/>
      <c r="U42" s="102"/>
      <c r="V42" s="140"/>
      <c r="W42" s="102"/>
      <c r="X42" s="102"/>
      <c r="Y42" s="140"/>
      <c r="Z42" s="102"/>
      <c r="AA42" s="102"/>
      <c r="AB42" s="141"/>
      <c r="AC42" s="102"/>
      <c r="AD42" s="102"/>
      <c r="AE42" s="134"/>
      <c r="AF42" s="134"/>
      <c r="AG42" s="134"/>
      <c r="AH42" s="134"/>
      <c r="AI42" s="134"/>
      <c r="AJ42" s="134"/>
      <c r="AK42" s="134"/>
    </row>
    <row r="43">
      <c r="A43" s="101" t="s">
        <v>1624</v>
      </c>
      <c r="B43" s="101" t="s">
        <v>1625</v>
      </c>
      <c r="C43" s="101">
        <f t="shared" si="22"/>
        <v>14</v>
      </c>
      <c r="D43" s="101">
        <v>0.0</v>
      </c>
      <c r="E43" s="101">
        <v>14.0</v>
      </c>
      <c r="F43" s="101">
        <v>16.0</v>
      </c>
      <c r="G43" s="102">
        <f t="shared" si="23"/>
        <v>196</v>
      </c>
      <c r="H43" s="102">
        <f t="shared" si="24"/>
        <v>224</v>
      </c>
      <c r="I43" s="101">
        <v>4.0</v>
      </c>
      <c r="J43" s="102">
        <f t="shared" si="25"/>
        <v>3</v>
      </c>
      <c r="K43" s="136">
        <f>IFERROR(__xludf.DUMMYFUNCTION("TO_PERCENT(C43/I43-J43)"),0.5)</f>
        <v>0.5</v>
      </c>
      <c r="L43" s="101">
        <v>200.0</v>
      </c>
      <c r="M43" s="102">
        <f t="shared" si="26"/>
        <v>0</v>
      </c>
      <c r="N43" s="136">
        <f>IFERROR(__xludf.DUMMYFUNCTION("TO_PERCENT(C43/L43-M43)"),0.07)</f>
        <v>0.07</v>
      </c>
      <c r="O43" s="101">
        <v>4000.0</v>
      </c>
      <c r="P43" s="102">
        <f t="shared" si="27"/>
        <v>0</v>
      </c>
      <c r="Q43" s="136">
        <f>IFERROR(__xludf.DUMMYFUNCTION("TO_PERCENT($C43*$AJ$8/$AG$8/O43-P43)"),0.0)</f>
        <v>0</v>
      </c>
      <c r="R43" s="102"/>
      <c r="S43" s="140"/>
      <c r="T43" s="102"/>
      <c r="U43" s="102"/>
      <c r="V43" s="140"/>
      <c r="W43" s="102"/>
      <c r="X43" s="102"/>
      <c r="Y43" s="140"/>
      <c r="Z43" s="102"/>
      <c r="AA43" s="102"/>
      <c r="AB43" s="141"/>
      <c r="AC43" s="102"/>
      <c r="AD43" s="102"/>
      <c r="AE43" s="134"/>
      <c r="AF43" s="134"/>
      <c r="AG43" s="134"/>
      <c r="AH43" s="134"/>
      <c r="AI43" s="134"/>
      <c r="AJ43" s="134"/>
      <c r="AK43" s="134"/>
    </row>
    <row r="44">
      <c r="A44" s="101" t="s">
        <v>1626</v>
      </c>
      <c r="B44" s="101" t="s">
        <v>1627</v>
      </c>
      <c r="C44" s="101">
        <f t="shared" si="22"/>
        <v>34</v>
      </c>
      <c r="D44" s="101">
        <v>0.0</v>
      </c>
      <c r="E44" s="101">
        <v>16.0</v>
      </c>
      <c r="F44" s="101">
        <v>16.0</v>
      </c>
      <c r="G44" s="102">
        <f t="shared" si="23"/>
        <v>544</v>
      </c>
      <c r="H44" s="102">
        <f t="shared" si="24"/>
        <v>544</v>
      </c>
      <c r="I44" s="101">
        <v>5.0</v>
      </c>
      <c r="J44" s="102">
        <f t="shared" si="25"/>
        <v>6</v>
      </c>
      <c r="K44" s="136">
        <f>IFERROR(__xludf.DUMMYFUNCTION("TO_PERCENT(C44/I44-J44)"),0.7999999999999998)</f>
        <v>0.8</v>
      </c>
      <c r="L44" s="101">
        <v>10.0</v>
      </c>
      <c r="M44" s="102">
        <f t="shared" si="26"/>
        <v>3</v>
      </c>
      <c r="N44" s="136">
        <f>IFERROR(__xludf.DUMMYFUNCTION("TO_PERCENT(C44/L44-M44)"),0.3999999999999999)</f>
        <v>0.4</v>
      </c>
      <c r="O44" s="101">
        <v>300.0</v>
      </c>
      <c r="P44" s="102">
        <f t="shared" si="27"/>
        <v>0</v>
      </c>
      <c r="Q44" s="136">
        <f>IFERROR(__xludf.DUMMYFUNCTION("TO_PERCENT($C44*$AJ$8/$AG$8/O44-P44)"),0.0)</f>
        <v>0</v>
      </c>
      <c r="R44" s="102"/>
      <c r="S44" s="140"/>
      <c r="T44" s="102"/>
      <c r="U44" s="102"/>
      <c r="V44" s="140"/>
      <c r="W44" s="102"/>
      <c r="X44" s="102"/>
      <c r="Y44" s="140"/>
      <c r="Z44" s="102"/>
      <c r="AA44" s="102"/>
      <c r="AB44" s="141"/>
      <c r="AC44" s="102"/>
      <c r="AD44" s="102"/>
      <c r="AE44" s="134"/>
      <c r="AF44" s="134"/>
      <c r="AG44" s="134"/>
      <c r="AH44" s="134"/>
      <c r="AI44" s="134"/>
      <c r="AJ44" s="134"/>
      <c r="AK44" s="134"/>
    </row>
    <row r="45">
      <c r="A45" s="101" t="s">
        <v>1628</v>
      </c>
      <c r="B45" s="102"/>
      <c r="C45" s="101">
        <v>5.0</v>
      </c>
      <c r="D45" s="101">
        <v>0.0</v>
      </c>
      <c r="E45" s="101">
        <v>7.0</v>
      </c>
      <c r="F45" s="101">
        <v>8.0</v>
      </c>
      <c r="G45" s="102">
        <f t="shared" si="23"/>
        <v>35</v>
      </c>
      <c r="H45" s="102">
        <f t="shared" si="24"/>
        <v>40</v>
      </c>
      <c r="I45" s="101">
        <v>10.0</v>
      </c>
      <c r="J45" s="102">
        <f t="shared" si="25"/>
        <v>0</v>
      </c>
      <c r="K45" s="136">
        <f>IFERROR(__xludf.DUMMYFUNCTION("TO_PERCENT(C45/I45-J45)"),0.5)</f>
        <v>0.5</v>
      </c>
      <c r="L45" s="101">
        <v>200.0</v>
      </c>
      <c r="M45" s="102">
        <f t="shared" si="26"/>
        <v>0</v>
      </c>
      <c r="N45" s="136">
        <f>IFERROR(__xludf.DUMMYFUNCTION("TO_PERCENT(C45/L45-M45)"),0.025)</f>
        <v>0.025</v>
      </c>
      <c r="O45" s="101">
        <v>4000.0</v>
      </c>
      <c r="P45" s="102">
        <f t="shared" si="27"/>
        <v>0</v>
      </c>
      <c r="Q45" s="136">
        <f>IFERROR(__xludf.DUMMYFUNCTION("TO_PERCENT($C45*$AJ$8/$AG$8/O45-P45)"),0.0)</f>
        <v>0</v>
      </c>
      <c r="R45" s="102"/>
      <c r="S45" s="140"/>
      <c r="T45" s="102"/>
      <c r="U45" s="102"/>
      <c r="V45" s="140"/>
      <c r="W45" s="102"/>
      <c r="X45" s="102"/>
      <c r="Y45" s="140"/>
      <c r="Z45" s="102"/>
      <c r="AA45" s="102"/>
      <c r="AB45" s="141"/>
      <c r="AC45" s="102"/>
      <c r="AD45" s="102"/>
      <c r="AE45" s="134"/>
      <c r="AF45" s="134"/>
      <c r="AG45" s="134"/>
      <c r="AH45" s="134"/>
      <c r="AI45" s="134"/>
      <c r="AJ45" s="134"/>
      <c r="AK45" s="134"/>
    </row>
    <row r="46">
      <c r="A46" s="101" t="s">
        <v>1629</v>
      </c>
      <c r="B46" s="102"/>
      <c r="C46" s="101">
        <f t="shared" ref="C46:C48" si="28">ROUND(C16*1.7,0)</f>
        <v>27</v>
      </c>
      <c r="D46" s="101">
        <v>0.0</v>
      </c>
      <c r="E46" s="101">
        <v>14.0</v>
      </c>
      <c r="F46" s="101">
        <v>16.0</v>
      </c>
      <c r="G46" s="102">
        <f t="shared" si="23"/>
        <v>378</v>
      </c>
      <c r="H46" s="102">
        <f t="shared" si="24"/>
        <v>432</v>
      </c>
      <c r="I46" s="101">
        <v>6.0</v>
      </c>
      <c r="J46" s="102">
        <f t="shared" si="25"/>
        <v>4</v>
      </c>
      <c r="K46" s="136">
        <f>IFERROR(__xludf.DUMMYFUNCTION("TO_PERCENT(C46/I46-J46)"),0.5)</f>
        <v>0.5</v>
      </c>
      <c r="L46" s="101">
        <v>120.0</v>
      </c>
      <c r="M46" s="102">
        <f t="shared" si="26"/>
        <v>0</v>
      </c>
      <c r="N46" s="136">
        <f>IFERROR(__xludf.DUMMYFUNCTION("TO_PERCENT(C46/L46-M46)"),0.225)</f>
        <v>0.225</v>
      </c>
      <c r="O46" s="101">
        <v>2400.0</v>
      </c>
      <c r="P46" s="102">
        <f t="shared" si="27"/>
        <v>0</v>
      </c>
      <c r="Q46" s="136">
        <f>IFERROR(__xludf.DUMMYFUNCTION("TO_PERCENT($C46*$AJ$8/$AG$8/O46-P46)"),0.0)</f>
        <v>0</v>
      </c>
      <c r="R46" s="102"/>
      <c r="S46" s="140"/>
      <c r="T46" s="102"/>
      <c r="U46" s="102"/>
      <c r="V46" s="140"/>
      <c r="W46" s="102"/>
      <c r="X46" s="102"/>
      <c r="Y46" s="140"/>
      <c r="Z46" s="102"/>
      <c r="AA46" s="102"/>
      <c r="AB46" s="141"/>
      <c r="AC46" s="102"/>
      <c r="AD46" s="102"/>
      <c r="AE46" s="134"/>
      <c r="AF46" s="134"/>
      <c r="AG46" s="134"/>
      <c r="AH46" s="134"/>
      <c r="AI46" s="134"/>
      <c r="AJ46" s="134"/>
      <c r="AK46" s="134"/>
    </row>
    <row r="47">
      <c r="A47" s="101" t="s">
        <v>107</v>
      </c>
      <c r="B47" s="101" t="s">
        <v>1627</v>
      </c>
      <c r="C47" s="101">
        <f t="shared" si="28"/>
        <v>119</v>
      </c>
      <c r="D47" s="101">
        <v>0.0</v>
      </c>
      <c r="E47" s="101">
        <v>9.0</v>
      </c>
      <c r="F47" s="101">
        <v>9.0</v>
      </c>
      <c r="G47" s="102">
        <f t="shared" si="23"/>
        <v>1071</v>
      </c>
      <c r="H47" s="102">
        <f t="shared" si="24"/>
        <v>1071</v>
      </c>
      <c r="I47" s="101">
        <v>5.0</v>
      </c>
      <c r="J47" s="102">
        <f t="shared" si="25"/>
        <v>23</v>
      </c>
      <c r="K47" s="136">
        <f>IFERROR(__xludf.DUMMYFUNCTION("TO_PERCENT(C47/I47-J47)"),0.8000000000000007)</f>
        <v>0.8</v>
      </c>
      <c r="L47" s="101">
        <v>500.0</v>
      </c>
      <c r="M47" s="102">
        <f t="shared" si="26"/>
        <v>0</v>
      </c>
      <c r="N47" s="136">
        <f>IFERROR(__xludf.DUMMYFUNCTION("TO_PERCENT(C47/L47-M47)"),0.238)</f>
        <v>0.238</v>
      </c>
      <c r="O47" s="101">
        <v>10000.0</v>
      </c>
      <c r="P47" s="102">
        <f t="shared" si="27"/>
        <v>0</v>
      </c>
      <c r="Q47" s="136">
        <f>IFERROR(__xludf.DUMMYFUNCTION("TO_PERCENT($C47*$AJ$8/$AG$8/O47-P47)"),0.0)</f>
        <v>0</v>
      </c>
      <c r="R47" s="102"/>
      <c r="S47" s="140"/>
      <c r="T47" s="102"/>
      <c r="U47" s="102"/>
      <c r="V47" s="140"/>
      <c r="W47" s="102"/>
      <c r="X47" s="102"/>
      <c r="Y47" s="140"/>
      <c r="Z47" s="102"/>
      <c r="AA47" s="102"/>
      <c r="AB47" s="141"/>
      <c r="AC47" s="102"/>
      <c r="AD47" s="102"/>
      <c r="AE47" s="134"/>
      <c r="AF47" s="134"/>
      <c r="AG47" s="134"/>
      <c r="AH47" s="134"/>
      <c r="AI47" s="134"/>
      <c r="AJ47" s="134"/>
      <c r="AK47" s="134"/>
    </row>
    <row r="48">
      <c r="A48" s="101" t="s">
        <v>1630</v>
      </c>
      <c r="B48" s="101" t="s">
        <v>1631</v>
      </c>
      <c r="C48" s="101">
        <f t="shared" si="28"/>
        <v>306</v>
      </c>
      <c r="D48" s="101">
        <v>4.0</v>
      </c>
      <c r="E48" s="101">
        <v>9.0</v>
      </c>
      <c r="F48" s="101">
        <v>9.0</v>
      </c>
      <c r="G48" s="102">
        <f t="shared" si="23"/>
        <v>2754</v>
      </c>
      <c r="H48" s="102">
        <f t="shared" si="24"/>
        <v>2754</v>
      </c>
      <c r="I48" s="101">
        <v>5.0</v>
      </c>
      <c r="J48" s="102">
        <f t="shared" si="25"/>
        <v>61</v>
      </c>
      <c r="K48" s="136">
        <f>IFERROR(__xludf.DUMMYFUNCTION("TO_PERCENT(C48/I48-J48)"),0.20000000000000284)</f>
        <v>0.2</v>
      </c>
      <c r="L48" s="101">
        <v>30.0</v>
      </c>
      <c r="M48" s="102">
        <f t="shared" si="26"/>
        <v>10</v>
      </c>
      <c r="N48" s="136">
        <f>IFERROR(__xludf.DUMMYFUNCTION("TO_PERCENT(C48/L48-M48)"),0.1999999999999993)</f>
        <v>0.2</v>
      </c>
      <c r="O48" s="101">
        <v>600.0</v>
      </c>
      <c r="P48" s="102">
        <f t="shared" si="27"/>
        <v>0</v>
      </c>
      <c r="Q48" s="136">
        <f>IFERROR(__xludf.DUMMYFUNCTION("TO_PERCENT($C48*$AJ$8/$AG$8/O48-P48)"),0.0)</f>
        <v>0</v>
      </c>
      <c r="R48" s="102"/>
      <c r="S48" s="140"/>
      <c r="T48" s="102"/>
      <c r="U48" s="102"/>
      <c r="V48" s="140"/>
      <c r="W48" s="102"/>
      <c r="X48" s="102"/>
      <c r="Y48" s="140"/>
      <c r="Z48" s="102"/>
      <c r="AA48" s="102"/>
      <c r="AB48" s="141"/>
      <c r="AC48" s="102"/>
      <c r="AD48" s="102"/>
      <c r="AE48" s="134"/>
      <c r="AF48" s="134"/>
      <c r="AG48" s="134"/>
      <c r="AH48" s="134"/>
      <c r="AI48" s="134"/>
      <c r="AJ48" s="134"/>
      <c r="AK48" s="134"/>
    </row>
    <row r="49">
      <c r="A49" s="101" t="s">
        <v>131</v>
      </c>
      <c r="B49" s="101" t="s">
        <v>1627</v>
      </c>
      <c r="C49" s="101">
        <v>10.0</v>
      </c>
      <c r="D49" s="101">
        <v>0.0</v>
      </c>
      <c r="E49" s="101">
        <v>0.0</v>
      </c>
      <c r="F49" s="101">
        <v>0.0</v>
      </c>
      <c r="G49" s="102">
        <f t="shared" si="23"/>
        <v>0</v>
      </c>
      <c r="H49" s="102">
        <f t="shared" si="24"/>
        <v>0</v>
      </c>
      <c r="I49" s="104">
        <v>0.0</v>
      </c>
      <c r="J49" s="101">
        <v>0.0</v>
      </c>
      <c r="K49" s="136">
        <v>0.0</v>
      </c>
      <c r="L49" s="101">
        <v>1.0</v>
      </c>
      <c r="M49" s="101">
        <v>10.0</v>
      </c>
      <c r="N49" s="136">
        <v>0.0</v>
      </c>
      <c r="O49" s="104">
        <v>0.0</v>
      </c>
      <c r="P49" s="101">
        <v>0.0</v>
      </c>
      <c r="Q49" s="136">
        <v>0.0</v>
      </c>
      <c r="R49" s="102"/>
      <c r="S49" s="140"/>
      <c r="T49" s="102"/>
      <c r="U49" s="102"/>
      <c r="V49" s="140"/>
      <c r="W49" s="102"/>
      <c r="X49" s="102"/>
      <c r="Y49" s="140"/>
      <c r="Z49" s="102"/>
      <c r="AA49" s="102"/>
      <c r="AB49" s="141"/>
      <c r="AC49" s="102"/>
      <c r="AD49" s="102"/>
      <c r="AE49" s="134"/>
      <c r="AF49" s="134"/>
      <c r="AG49" s="134"/>
      <c r="AH49" s="134"/>
      <c r="AI49" s="134"/>
      <c r="AJ49" s="134"/>
      <c r="AK49" s="134"/>
    </row>
    <row r="50">
      <c r="A50" s="101" t="s">
        <v>223</v>
      </c>
      <c r="B50" s="101"/>
      <c r="C50" s="101">
        <v>89.0</v>
      </c>
      <c r="D50" s="101">
        <v>2.0</v>
      </c>
      <c r="E50" s="101">
        <v>5.0</v>
      </c>
      <c r="F50" s="101">
        <v>5.0</v>
      </c>
      <c r="G50" s="102">
        <f t="shared" si="23"/>
        <v>445</v>
      </c>
      <c r="H50" s="102">
        <f t="shared" si="24"/>
        <v>445</v>
      </c>
      <c r="I50" s="101">
        <v>6.0</v>
      </c>
      <c r="J50" s="102">
        <f t="shared" ref="J50:J52" si="29">ROUNDDOWN(C50/I50,0)</f>
        <v>14</v>
      </c>
      <c r="K50" s="136">
        <f>IFERROR(__xludf.DUMMYFUNCTION("TO_PERCENT(C50/I50-J50)"),0.8333333333333339)</f>
        <v>0.8333333333</v>
      </c>
      <c r="L50" s="101">
        <v>50.0</v>
      </c>
      <c r="M50" s="102">
        <f t="shared" ref="M50:M52" si="30">ROUNDDOWN(C50/L50,0)</f>
        <v>1</v>
      </c>
      <c r="N50" s="136">
        <f>IFERROR(__xludf.DUMMYFUNCTION("TO_PERCENT(C50/L50-M50)"),0.78)</f>
        <v>0.78</v>
      </c>
      <c r="O50" s="101">
        <v>8000.0</v>
      </c>
      <c r="P50" s="102">
        <f t="shared" ref="P50:P52" si="31">ROUNDDOWN($C50*$AJ$8/$AG$8/O50,0)</f>
        <v>0</v>
      </c>
      <c r="Q50" s="136">
        <f>IFERROR(__xludf.DUMMYFUNCTION("TO_PERCENT($C50*$AJ$8/$AG$8/O50-P50)"),0.0)</f>
        <v>0</v>
      </c>
      <c r="R50" s="102"/>
      <c r="S50" s="140"/>
      <c r="T50" s="102"/>
      <c r="U50" s="102"/>
      <c r="V50" s="140"/>
      <c r="W50" s="102"/>
      <c r="X50" s="102"/>
      <c r="Y50" s="140"/>
      <c r="Z50" s="102"/>
      <c r="AA50" s="102"/>
      <c r="AB50" s="141"/>
      <c r="AC50" s="102"/>
      <c r="AD50" s="102"/>
      <c r="AE50" s="134"/>
      <c r="AF50" s="134"/>
      <c r="AG50" s="134"/>
      <c r="AH50" s="134"/>
      <c r="AI50" s="134"/>
      <c r="AJ50" s="134"/>
      <c r="AK50" s="134"/>
    </row>
    <row r="51">
      <c r="A51" s="101" t="s">
        <v>1632</v>
      </c>
      <c r="B51" s="101"/>
      <c r="C51" s="101">
        <v>178.0</v>
      </c>
      <c r="D51" s="101">
        <v>0.0</v>
      </c>
      <c r="E51" s="101">
        <v>7.0</v>
      </c>
      <c r="F51" s="101">
        <v>7.0</v>
      </c>
      <c r="G51" s="102">
        <f t="shared" si="23"/>
        <v>1246</v>
      </c>
      <c r="H51" s="102">
        <f t="shared" si="24"/>
        <v>1246</v>
      </c>
      <c r="I51" s="101">
        <v>5.0</v>
      </c>
      <c r="J51" s="102">
        <f t="shared" si="29"/>
        <v>35</v>
      </c>
      <c r="K51" s="136">
        <f>IFERROR(__xludf.DUMMYFUNCTION("TO_PERCENT(C51/I51-J51)"),0.6000000000000014)</f>
        <v>0.6</v>
      </c>
      <c r="L51" s="101">
        <v>30.0</v>
      </c>
      <c r="M51" s="102">
        <f t="shared" si="30"/>
        <v>5</v>
      </c>
      <c r="N51" s="136">
        <f>IFERROR(__xludf.DUMMYFUNCTION("TO_PERCENT(C51/L51-M51)"),0.9333333333333336)</f>
        <v>0.9333333333</v>
      </c>
      <c r="O51" s="101">
        <v>1600.0</v>
      </c>
      <c r="P51" s="102">
        <f t="shared" si="31"/>
        <v>0</v>
      </c>
      <c r="Q51" s="136">
        <f>IFERROR(__xludf.DUMMYFUNCTION("TO_PERCENT($C51*$AJ$8/$AG$8/O51-P51)"),0.0)</f>
        <v>0</v>
      </c>
      <c r="R51" s="102"/>
      <c r="S51" s="140"/>
      <c r="T51" s="102"/>
      <c r="U51" s="102"/>
      <c r="V51" s="140"/>
      <c r="W51" s="102"/>
      <c r="X51" s="102"/>
      <c r="Y51" s="140"/>
      <c r="Z51" s="102"/>
      <c r="AA51" s="102"/>
      <c r="AB51" s="141"/>
      <c r="AC51" s="102"/>
      <c r="AD51" s="102"/>
      <c r="AE51" s="134"/>
      <c r="AF51" s="134"/>
      <c r="AG51" s="134"/>
      <c r="AH51" s="134"/>
      <c r="AI51" s="134"/>
      <c r="AJ51" s="134"/>
      <c r="AK51" s="134"/>
    </row>
    <row r="52">
      <c r="A52" s="101" t="s">
        <v>1633</v>
      </c>
      <c r="B52" s="101"/>
      <c r="C52" s="101">
        <v>260.0</v>
      </c>
      <c r="D52" s="101">
        <v>0.0</v>
      </c>
      <c r="E52" s="101">
        <v>12.0</v>
      </c>
      <c r="F52" s="101">
        <v>12.0</v>
      </c>
      <c r="G52" s="102">
        <f t="shared" si="23"/>
        <v>3120</v>
      </c>
      <c r="H52" s="102">
        <f t="shared" si="24"/>
        <v>3120</v>
      </c>
      <c r="I52" s="101">
        <v>5.0</v>
      </c>
      <c r="J52" s="102">
        <f t="shared" si="29"/>
        <v>52</v>
      </c>
      <c r="K52" s="136">
        <f>IFERROR(__xludf.DUMMYFUNCTION("TO_PERCENT(C52/I52-J52)"),0.0)</f>
        <v>0</v>
      </c>
      <c r="L52" s="101">
        <v>15.0</v>
      </c>
      <c r="M52" s="102">
        <f t="shared" si="30"/>
        <v>17</v>
      </c>
      <c r="N52" s="136">
        <f>IFERROR(__xludf.DUMMYFUNCTION("TO_PERCENT(C52/L52-M52)"),0.33333333333333215)</f>
        <v>0.3333333333</v>
      </c>
      <c r="O52" s="101">
        <v>400.0</v>
      </c>
      <c r="P52" s="102">
        <f t="shared" si="31"/>
        <v>0</v>
      </c>
      <c r="Q52" s="136">
        <f>IFERROR(__xludf.DUMMYFUNCTION("TO_PERCENT($C52*$AJ$8/$AG$8/O52-P52)"),0.0)</f>
        <v>0</v>
      </c>
      <c r="R52" s="102"/>
      <c r="S52" s="140"/>
      <c r="T52" s="102"/>
      <c r="U52" s="102"/>
      <c r="V52" s="140"/>
      <c r="W52" s="102"/>
      <c r="X52" s="102"/>
      <c r="Y52" s="140"/>
      <c r="Z52" s="102"/>
      <c r="AA52" s="102"/>
      <c r="AB52" s="141"/>
      <c r="AC52" s="102"/>
      <c r="AD52" s="102"/>
      <c r="AE52" s="134"/>
      <c r="AF52" s="134"/>
      <c r="AG52" s="134"/>
      <c r="AH52" s="134"/>
      <c r="AI52" s="134"/>
      <c r="AJ52" s="134"/>
      <c r="AK52" s="134"/>
    </row>
    <row r="53">
      <c r="A53" s="101" t="s">
        <v>1634</v>
      </c>
      <c r="B53" s="101" t="s">
        <v>1622</v>
      </c>
      <c r="C53" s="101">
        <v>0.0</v>
      </c>
      <c r="D53" s="101">
        <v>0.0</v>
      </c>
      <c r="E53" s="101"/>
      <c r="F53" s="101"/>
      <c r="G53" s="104">
        <v>100.0</v>
      </c>
      <c r="H53" s="101">
        <v>200.0</v>
      </c>
      <c r="I53" s="101"/>
      <c r="J53" s="102"/>
      <c r="K53" s="136"/>
      <c r="L53" s="101"/>
      <c r="M53" s="102"/>
      <c r="N53" s="136"/>
      <c r="O53" s="101"/>
      <c r="P53" s="102"/>
      <c r="Q53" s="136"/>
      <c r="R53" s="102"/>
      <c r="S53" s="140"/>
      <c r="T53" s="102"/>
      <c r="U53" s="102"/>
      <c r="V53" s="140"/>
      <c r="W53" s="102"/>
      <c r="X53" s="102"/>
      <c r="Y53" s="140"/>
      <c r="Z53" s="102"/>
      <c r="AA53" s="102"/>
      <c r="AB53" s="141"/>
      <c r="AC53" s="102"/>
      <c r="AD53" s="102"/>
      <c r="AE53" s="134"/>
      <c r="AF53" s="134"/>
      <c r="AG53" s="134"/>
      <c r="AH53" s="134"/>
      <c r="AI53" s="134"/>
      <c r="AJ53" s="134"/>
      <c r="AK53" s="134"/>
    </row>
    <row r="54">
      <c r="A54" s="101" t="s">
        <v>1635</v>
      </c>
      <c r="B54" s="101" t="s">
        <v>1625</v>
      </c>
      <c r="C54" s="101">
        <v>0.0</v>
      </c>
      <c r="D54" s="101">
        <v>0.0</v>
      </c>
      <c r="E54" s="101"/>
      <c r="F54" s="101"/>
      <c r="G54" s="104">
        <v>200.0</v>
      </c>
      <c r="H54" s="101">
        <v>500.0</v>
      </c>
      <c r="I54" s="101"/>
      <c r="J54" s="102"/>
      <c r="K54" s="136"/>
      <c r="L54" s="101"/>
      <c r="M54" s="102"/>
      <c r="N54" s="136"/>
      <c r="O54" s="101"/>
      <c r="P54" s="102"/>
      <c r="Q54" s="136"/>
      <c r="R54" s="102"/>
      <c r="S54" s="140"/>
      <c r="T54" s="102"/>
      <c r="U54" s="102"/>
      <c r="V54" s="140"/>
      <c r="W54" s="102"/>
      <c r="X54" s="102"/>
      <c r="Y54" s="140"/>
      <c r="Z54" s="102"/>
      <c r="AA54" s="102"/>
      <c r="AB54" s="141"/>
      <c r="AC54" s="102"/>
      <c r="AD54" s="102"/>
      <c r="AE54" s="134"/>
      <c r="AF54" s="134"/>
      <c r="AG54" s="134"/>
      <c r="AH54" s="134"/>
      <c r="AI54" s="134"/>
      <c r="AJ54" s="134"/>
      <c r="AK54" s="134"/>
    </row>
    <row r="55">
      <c r="A55" s="101" t="s">
        <v>1636</v>
      </c>
      <c r="B55" s="101" t="s">
        <v>1627</v>
      </c>
      <c r="C55" s="101">
        <v>0.0</v>
      </c>
      <c r="D55" s="101">
        <v>0.0</v>
      </c>
      <c r="E55" s="101"/>
      <c r="F55" s="101"/>
      <c r="G55" s="104">
        <v>500.0</v>
      </c>
      <c r="H55" s="101">
        <v>1500.0</v>
      </c>
      <c r="I55" s="101"/>
      <c r="J55" s="102"/>
      <c r="K55" s="136"/>
      <c r="L55" s="101"/>
      <c r="M55" s="102"/>
      <c r="N55" s="136"/>
      <c r="O55" s="101"/>
      <c r="P55" s="102"/>
      <c r="Q55" s="136"/>
      <c r="R55" s="102"/>
      <c r="S55" s="140"/>
      <c r="T55" s="102"/>
      <c r="U55" s="102"/>
      <c r="V55" s="140"/>
      <c r="W55" s="102"/>
      <c r="X55" s="102"/>
      <c r="Y55" s="140"/>
      <c r="Z55" s="102"/>
      <c r="AA55" s="102"/>
      <c r="AB55" s="141"/>
      <c r="AC55" s="102"/>
      <c r="AD55" s="102"/>
      <c r="AE55" s="134"/>
      <c r="AF55" s="134"/>
      <c r="AG55" s="134"/>
      <c r="AH55" s="134"/>
      <c r="AI55" s="134"/>
      <c r="AJ55" s="134"/>
      <c r="AK55" s="134"/>
    </row>
    <row r="56">
      <c r="A56" s="135" t="s">
        <v>1639</v>
      </c>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5"/>
      <c r="AE56" s="134"/>
      <c r="AF56" s="134"/>
      <c r="AG56" s="134"/>
      <c r="AH56" s="134"/>
      <c r="AI56" s="134"/>
      <c r="AJ56" s="134"/>
      <c r="AK56" s="134"/>
    </row>
    <row r="57">
      <c r="A57" s="101" t="s">
        <v>1621</v>
      </c>
      <c r="B57" s="101" t="s">
        <v>1622</v>
      </c>
      <c r="C57" s="101">
        <f t="shared" ref="C57:C59" si="32">ROUND(C12*2,0)</f>
        <v>8</v>
      </c>
      <c r="D57" s="101">
        <v>0.0</v>
      </c>
      <c r="E57" s="101">
        <v>7.0</v>
      </c>
      <c r="F57" s="101">
        <v>8.0</v>
      </c>
      <c r="G57" s="102">
        <f t="shared" ref="G57:G67" si="33">E57*C57</f>
        <v>56</v>
      </c>
      <c r="H57" s="102">
        <f t="shared" ref="H57:H67" si="34">F57*C57</f>
        <v>64</v>
      </c>
      <c r="I57" s="101">
        <v>9.0</v>
      </c>
      <c r="J57" s="102">
        <f t="shared" ref="J57:J63" si="35">ROUNDDOWN(C57/I57,0)</f>
        <v>0</v>
      </c>
      <c r="K57" s="136">
        <f>IFERROR(__xludf.DUMMYFUNCTION("TO_PERCENT(C57/I57-J57)"),0.8888888888888888)</f>
        <v>0.8888888889</v>
      </c>
      <c r="L57" s="101">
        <v>500.0</v>
      </c>
      <c r="M57" s="102">
        <f t="shared" ref="M57:M63" si="36">ROUNDDOWN(C57/L57,0)</f>
        <v>0</v>
      </c>
      <c r="N57" s="136">
        <f>IFERROR(__xludf.DUMMYFUNCTION("TO_PERCENT(C57/L57-M57)"),0.016)</f>
        <v>0.016</v>
      </c>
      <c r="O57" s="101">
        <v>10000.0</v>
      </c>
      <c r="P57" s="102">
        <f t="shared" ref="P57:P63" si="37">ROUNDDOWN($C57*$AJ$9/$AG$9/O57,0)</f>
        <v>0</v>
      </c>
      <c r="Q57" s="136">
        <f>IFERROR(__xludf.DUMMYFUNCTION("TO_PERCENT($C57*$AJ$9/$AG$9/O57-P57)"),6.666666666666666E-5)</f>
        <v>0.00006666666667</v>
      </c>
      <c r="R57" s="136">
        <v>0.05</v>
      </c>
      <c r="S57" s="140">
        <f t="shared" ref="S57:S66" si="38">R57*(C57-J57-K57-M57-N57-P57-Q57)</f>
        <v>0.3547522222</v>
      </c>
      <c r="T57" s="102"/>
      <c r="U57" s="136">
        <v>0.05</v>
      </c>
      <c r="V57" s="140">
        <f t="shared" ref="V57:V66" si="39">U57*(J57+K57)</f>
        <v>0.04444444444</v>
      </c>
      <c r="W57" s="102"/>
      <c r="X57" s="136">
        <v>0.05</v>
      </c>
      <c r="Y57" s="140">
        <f t="shared" ref="Y57:Y66" si="40">X57*(M57+N57)</f>
        <v>0.0008</v>
      </c>
      <c r="Z57" s="102"/>
      <c r="AA57" s="136">
        <v>0.1</v>
      </c>
      <c r="AB57" s="141">
        <f t="shared" ref="AB57:AB66" si="41">AA57*(P57+Q57)</f>
        <v>0.000006666666667</v>
      </c>
      <c r="AC57" s="102"/>
      <c r="AD57" s="102"/>
      <c r="AE57" s="134"/>
      <c r="AF57" s="134"/>
      <c r="AG57" s="134"/>
      <c r="AH57" s="134"/>
      <c r="AI57" s="134"/>
      <c r="AJ57" s="134"/>
      <c r="AK57" s="134"/>
    </row>
    <row r="58">
      <c r="A58" s="101" t="s">
        <v>1624</v>
      </c>
      <c r="B58" s="101" t="s">
        <v>1625</v>
      </c>
      <c r="C58" s="101">
        <f t="shared" si="32"/>
        <v>16</v>
      </c>
      <c r="D58" s="101">
        <v>0.0</v>
      </c>
      <c r="E58" s="101">
        <v>14.0</v>
      </c>
      <c r="F58" s="101">
        <v>16.0</v>
      </c>
      <c r="G58" s="102">
        <f t="shared" si="33"/>
        <v>224</v>
      </c>
      <c r="H58" s="102">
        <f t="shared" si="34"/>
        <v>256</v>
      </c>
      <c r="I58" s="101">
        <v>4.0</v>
      </c>
      <c r="J58" s="102">
        <f t="shared" si="35"/>
        <v>4</v>
      </c>
      <c r="K58" s="136">
        <f>IFERROR(__xludf.DUMMYFUNCTION("TO_PERCENT(C58/I58-J58)"),0.0)</f>
        <v>0</v>
      </c>
      <c r="L58" s="101">
        <v>200.0</v>
      </c>
      <c r="M58" s="102">
        <f t="shared" si="36"/>
        <v>0</v>
      </c>
      <c r="N58" s="136">
        <f>IFERROR(__xludf.DUMMYFUNCTION("TO_PERCENT(C58/L58-M58)"),0.08)</f>
        <v>0.08</v>
      </c>
      <c r="O58" s="101">
        <v>4000.0</v>
      </c>
      <c r="P58" s="102">
        <f t="shared" si="37"/>
        <v>0</v>
      </c>
      <c r="Q58" s="136">
        <f>IFERROR(__xludf.DUMMYFUNCTION("TO_PERCENT($C58*$AJ$9/$AG$9/O58-P58)"),3.333333333333333E-4)</f>
        <v>0.0003333333333</v>
      </c>
      <c r="R58" s="136">
        <v>0.05</v>
      </c>
      <c r="S58" s="140">
        <f t="shared" si="38"/>
        <v>0.5959833333</v>
      </c>
      <c r="T58" s="102"/>
      <c r="U58" s="136">
        <v>0.05</v>
      </c>
      <c r="V58" s="140">
        <f t="shared" si="39"/>
        <v>0.2</v>
      </c>
      <c r="W58" s="102"/>
      <c r="X58" s="136">
        <v>0.05</v>
      </c>
      <c r="Y58" s="140">
        <f t="shared" si="40"/>
        <v>0.004</v>
      </c>
      <c r="Z58" s="102"/>
      <c r="AA58" s="136">
        <v>0.1</v>
      </c>
      <c r="AB58" s="141">
        <f t="shared" si="41"/>
        <v>0.00003333333333</v>
      </c>
      <c r="AC58" s="102"/>
      <c r="AD58" s="102"/>
      <c r="AE58" s="134"/>
      <c r="AF58" s="134"/>
      <c r="AG58" s="134"/>
      <c r="AH58" s="134"/>
      <c r="AI58" s="134"/>
      <c r="AJ58" s="134"/>
      <c r="AK58" s="134"/>
    </row>
    <row r="59">
      <c r="A59" s="101" t="s">
        <v>1626</v>
      </c>
      <c r="B59" s="101" t="s">
        <v>1627</v>
      </c>
      <c r="C59" s="101">
        <f t="shared" si="32"/>
        <v>40</v>
      </c>
      <c r="D59" s="101">
        <v>0.0</v>
      </c>
      <c r="E59" s="101">
        <v>16.0</v>
      </c>
      <c r="F59" s="101">
        <v>16.0</v>
      </c>
      <c r="G59" s="102">
        <f t="shared" si="33"/>
        <v>640</v>
      </c>
      <c r="H59" s="102">
        <f t="shared" si="34"/>
        <v>640</v>
      </c>
      <c r="I59" s="101">
        <v>5.0</v>
      </c>
      <c r="J59" s="102">
        <f t="shared" si="35"/>
        <v>8</v>
      </c>
      <c r="K59" s="136">
        <f>IFERROR(__xludf.DUMMYFUNCTION("TO_PERCENT(C59/I59-J59)"),0.0)</f>
        <v>0</v>
      </c>
      <c r="L59" s="101">
        <v>10.0</v>
      </c>
      <c r="M59" s="102">
        <f t="shared" si="36"/>
        <v>4</v>
      </c>
      <c r="N59" s="136">
        <f>IFERROR(__xludf.DUMMYFUNCTION("TO_PERCENT(C59/L59-M59)"),0.0)</f>
        <v>0</v>
      </c>
      <c r="O59" s="101">
        <v>300.0</v>
      </c>
      <c r="P59" s="102">
        <f t="shared" si="37"/>
        <v>0</v>
      </c>
      <c r="Q59" s="136">
        <f>IFERROR(__xludf.DUMMYFUNCTION("TO_PERCENT($C59*$AJ$9/$AG$9/O59-P59)"),0.011111111111111112)</f>
        <v>0.01111111111</v>
      </c>
      <c r="R59" s="136">
        <v>0.05</v>
      </c>
      <c r="S59" s="140">
        <f t="shared" si="38"/>
        <v>1.399444444</v>
      </c>
      <c r="T59" s="102"/>
      <c r="U59" s="136">
        <v>0.05</v>
      </c>
      <c r="V59" s="140">
        <f t="shared" si="39"/>
        <v>0.4</v>
      </c>
      <c r="W59" s="102"/>
      <c r="X59" s="136">
        <v>0.05</v>
      </c>
      <c r="Y59" s="140">
        <f t="shared" si="40"/>
        <v>0.2</v>
      </c>
      <c r="Z59" s="102"/>
      <c r="AA59" s="136">
        <v>0.1</v>
      </c>
      <c r="AB59" s="141">
        <f t="shared" si="41"/>
        <v>0.001111111111</v>
      </c>
      <c r="AC59" s="102"/>
      <c r="AD59" s="102"/>
      <c r="AE59" s="134"/>
      <c r="AF59" s="134"/>
      <c r="AG59" s="134"/>
      <c r="AH59" s="134"/>
      <c r="AI59" s="134"/>
      <c r="AJ59" s="134"/>
      <c r="AK59" s="134"/>
    </row>
    <row r="60">
      <c r="A60" s="101" t="s">
        <v>1628</v>
      </c>
      <c r="B60" s="102"/>
      <c r="C60" s="101">
        <v>6.0</v>
      </c>
      <c r="D60" s="101">
        <v>0.0</v>
      </c>
      <c r="E60" s="101">
        <v>7.0</v>
      </c>
      <c r="F60" s="101">
        <v>8.0</v>
      </c>
      <c r="G60" s="102">
        <f t="shared" si="33"/>
        <v>42</v>
      </c>
      <c r="H60" s="102">
        <f t="shared" si="34"/>
        <v>48</v>
      </c>
      <c r="I60" s="101">
        <v>10.0</v>
      </c>
      <c r="J60" s="102">
        <f t="shared" si="35"/>
        <v>0</v>
      </c>
      <c r="K60" s="136">
        <f>IFERROR(__xludf.DUMMYFUNCTION("TO_PERCENT(C60/I60-J60)"),0.6)</f>
        <v>0.6</v>
      </c>
      <c r="L60" s="101">
        <v>200.0</v>
      </c>
      <c r="M60" s="102">
        <f t="shared" si="36"/>
        <v>0</v>
      </c>
      <c r="N60" s="136">
        <f>IFERROR(__xludf.DUMMYFUNCTION("TO_PERCENT(C60/L60-M60)"),0.03)</f>
        <v>0.03</v>
      </c>
      <c r="O60" s="101">
        <v>4000.0</v>
      </c>
      <c r="P60" s="102">
        <f t="shared" si="37"/>
        <v>0</v>
      </c>
      <c r="Q60" s="136">
        <f>IFERROR(__xludf.DUMMYFUNCTION("TO_PERCENT($C60*$AJ$9/$AG$9/O60-P60)"),1.25E-4)</f>
        <v>0.000125</v>
      </c>
      <c r="R60" s="136">
        <v>0.05</v>
      </c>
      <c r="S60" s="140">
        <f t="shared" si="38"/>
        <v>0.26849375</v>
      </c>
      <c r="T60" s="102"/>
      <c r="U60" s="136">
        <v>0.05</v>
      </c>
      <c r="V60" s="140">
        <f t="shared" si="39"/>
        <v>0.03</v>
      </c>
      <c r="W60" s="102"/>
      <c r="X60" s="136">
        <v>0.05</v>
      </c>
      <c r="Y60" s="140">
        <f t="shared" si="40"/>
        <v>0.0015</v>
      </c>
      <c r="Z60" s="102"/>
      <c r="AA60" s="136">
        <v>0.1</v>
      </c>
      <c r="AB60" s="141">
        <f t="shared" si="41"/>
        <v>0.0000125</v>
      </c>
      <c r="AC60" s="102"/>
      <c r="AD60" s="102"/>
      <c r="AE60" s="134"/>
      <c r="AF60" s="134"/>
      <c r="AG60" s="134"/>
      <c r="AH60" s="134"/>
      <c r="AI60" s="134"/>
      <c r="AJ60" s="134"/>
      <c r="AK60" s="134"/>
    </row>
    <row r="61">
      <c r="A61" s="101" t="s">
        <v>1629</v>
      </c>
      <c r="B61" s="102"/>
      <c r="C61" s="101">
        <f t="shared" ref="C61:C63" si="42">ROUND(C16*2,0)</f>
        <v>32</v>
      </c>
      <c r="D61" s="101">
        <v>0.0</v>
      </c>
      <c r="E61" s="101">
        <v>14.0</v>
      </c>
      <c r="F61" s="101">
        <v>16.0</v>
      </c>
      <c r="G61" s="102">
        <f t="shared" si="33"/>
        <v>448</v>
      </c>
      <c r="H61" s="102">
        <f t="shared" si="34"/>
        <v>512</v>
      </c>
      <c r="I61" s="101">
        <v>6.0</v>
      </c>
      <c r="J61" s="102">
        <f t="shared" si="35"/>
        <v>5</v>
      </c>
      <c r="K61" s="136">
        <f>IFERROR(__xludf.DUMMYFUNCTION("TO_PERCENT(C61/I61-J61)"),0.33333333333333304)</f>
        <v>0.3333333333</v>
      </c>
      <c r="L61" s="101">
        <v>120.0</v>
      </c>
      <c r="M61" s="102">
        <f t="shared" si="36"/>
        <v>0</v>
      </c>
      <c r="N61" s="136">
        <f>IFERROR(__xludf.DUMMYFUNCTION("TO_PERCENT(C61/L61-M61)"),0.26666666666666666)</f>
        <v>0.2666666667</v>
      </c>
      <c r="O61" s="101">
        <v>2400.0</v>
      </c>
      <c r="P61" s="102">
        <f t="shared" si="37"/>
        <v>0</v>
      </c>
      <c r="Q61" s="136">
        <f>IFERROR(__xludf.DUMMYFUNCTION("TO_PERCENT($C61*$AJ$9/$AG$9/O61-P61)"),0.0011111111111111111)</f>
        <v>0.001111111111</v>
      </c>
      <c r="R61" s="136">
        <v>0.05</v>
      </c>
      <c r="S61" s="140">
        <f t="shared" si="38"/>
        <v>1.319944444</v>
      </c>
      <c r="T61" s="102"/>
      <c r="U61" s="136">
        <v>0.05</v>
      </c>
      <c r="V61" s="140">
        <f t="shared" si="39"/>
        <v>0.2666666667</v>
      </c>
      <c r="W61" s="102"/>
      <c r="X61" s="136">
        <v>0.05</v>
      </c>
      <c r="Y61" s="140">
        <f t="shared" si="40"/>
        <v>0.01333333333</v>
      </c>
      <c r="Z61" s="102"/>
      <c r="AA61" s="136">
        <v>0.1</v>
      </c>
      <c r="AB61" s="141">
        <f t="shared" si="41"/>
        <v>0.0001111111111</v>
      </c>
      <c r="AC61" s="102"/>
      <c r="AD61" s="102"/>
      <c r="AE61" s="134"/>
      <c r="AF61" s="134"/>
      <c r="AG61" s="134"/>
      <c r="AH61" s="134"/>
      <c r="AI61" s="134"/>
      <c r="AJ61" s="134"/>
      <c r="AK61" s="134"/>
    </row>
    <row r="62">
      <c r="A62" s="101" t="s">
        <v>107</v>
      </c>
      <c r="B62" s="101" t="s">
        <v>1627</v>
      </c>
      <c r="C62" s="101">
        <f t="shared" si="42"/>
        <v>140</v>
      </c>
      <c r="D62" s="101">
        <v>0.0</v>
      </c>
      <c r="E62" s="101">
        <v>9.0</v>
      </c>
      <c r="F62" s="101">
        <v>9.0</v>
      </c>
      <c r="G62" s="102">
        <f t="shared" si="33"/>
        <v>1260</v>
      </c>
      <c r="H62" s="102">
        <f t="shared" si="34"/>
        <v>1260</v>
      </c>
      <c r="I62" s="101">
        <v>5.0</v>
      </c>
      <c r="J62" s="102">
        <f t="shared" si="35"/>
        <v>28</v>
      </c>
      <c r="K62" s="136">
        <f>IFERROR(__xludf.DUMMYFUNCTION("TO_PERCENT(C62/I62-J62)"),0.0)</f>
        <v>0</v>
      </c>
      <c r="L62" s="101">
        <v>500.0</v>
      </c>
      <c r="M62" s="102">
        <f t="shared" si="36"/>
        <v>0</v>
      </c>
      <c r="N62" s="136">
        <f>IFERROR(__xludf.DUMMYFUNCTION("TO_PERCENT(C62/L62-M62)"),0.28)</f>
        <v>0.28</v>
      </c>
      <c r="O62" s="101">
        <v>10000.0</v>
      </c>
      <c r="P62" s="102">
        <f t="shared" si="37"/>
        <v>0</v>
      </c>
      <c r="Q62" s="136">
        <f>IFERROR(__xludf.DUMMYFUNCTION("TO_PERCENT($C62*$AJ$9/$AG$9/O62-P62)"),0.0011666666666666665)</f>
        <v>0.001166666667</v>
      </c>
      <c r="R62" s="136">
        <v>0.05</v>
      </c>
      <c r="S62" s="140">
        <f t="shared" si="38"/>
        <v>5.585941667</v>
      </c>
      <c r="T62" s="102"/>
      <c r="U62" s="136">
        <v>0.05</v>
      </c>
      <c r="V62" s="140">
        <f t="shared" si="39"/>
        <v>1.4</v>
      </c>
      <c r="W62" s="102"/>
      <c r="X62" s="136">
        <v>0.05</v>
      </c>
      <c r="Y62" s="140">
        <f t="shared" si="40"/>
        <v>0.014</v>
      </c>
      <c r="Z62" s="102"/>
      <c r="AA62" s="136">
        <v>0.1</v>
      </c>
      <c r="AB62" s="141">
        <f t="shared" si="41"/>
        <v>0.0001166666667</v>
      </c>
      <c r="AC62" s="102"/>
      <c r="AD62" s="102"/>
      <c r="AE62" s="134"/>
      <c r="AF62" s="134"/>
      <c r="AG62" s="134"/>
      <c r="AH62" s="134"/>
      <c r="AI62" s="134"/>
      <c r="AJ62" s="134"/>
      <c r="AK62" s="134"/>
    </row>
    <row r="63">
      <c r="A63" s="101" t="s">
        <v>1630</v>
      </c>
      <c r="B63" s="101" t="s">
        <v>1631</v>
      </c>
      <c r="C63" s="101">
        <f t="shared" si="42"/>
        <v>360</v>
      </c>
      <c r="D63" s="101">
        <v>4.0</v>
      </c>
      <c r="E63" s="101">
        <v>9.0</v>
      </c>
      <c r="F63" s="101">
        <v>9.0</v>
      </c>
      <c r="G63" s="102">
        <f t="shared" si="33"/>
        <v>3240</v>
      </c>
      <c r="H63" s="102">
        <f t="shared" si="34"/>
        <v>3240</v>
      </c>
      <c r="I63" s="101">
        <v>5.0</v>
      </c>
      <c r="J63" s="102">
        <f t="shared" si="35"/>
        <v>72</v>
      </c>
      <c r="K63" s="136">
        <f>IFERROR(__xludf.DUMMYFUNCTION("TO_PERCENT(C63/I63-J63)"),0.0)</f>
        <v>0</v>
      </c>
      <c r="L63" s="101">
        <v>30.0</v>
      </c>
      <c r="M63" s="102">
        <f t="shared" si="36"/>
        <v>12</v>
      </c>
      <c r="N63" s="136">
        <f>IFERROR(__xludf.DUMMYFUNCTION("TO_PERCENT(C63/L63-M63)"),0.0)</f>
        <v>0</v>
      </c>
      <c r="O63" s="101">
        <v>600.0</v>
      </c>
      <c r="P63" s="102">
        <f t="shared" si="37"/>
        <v>0</v>
      </c>
      <c r="Q63" s="136">
        <f>IFERROR(__xludf.DUMMYFUNCTION("TO_PERCENT($C63*$AJ$9/$AG$9/O63-P63)"),0.05)</f>
        <v>0.05</v>
      </c>
      <c r="R63" s="136">
        <v>0.05</v>
      </c>
      <c r="S63" s="140">
        <f t="shared" si="38"/>
        <v>13.7975</v>
      </c>
      <c r="T63" s="102"/>
      <c r="U63" s="136">
        <v>0.05</v>
      </c>
      <c r="V63" s="140">
        <f t="shared" si="39"/>
        <v>3.6</v>
      </c>
      <c r="W63" s="102"/>
      <c r="X63" s="136">
        <v>0.05</v>
      </c>
      <c r="Y63" s="140">
        <f t="shared" si="40"/>
        <v>0.6</v>
      </c>
      <c r="Z63" s="102"/>
      <c r="AA63" s="136">
        <v>0.1</v>
      </c>
      <c r="AB63" s="141">
        <f t="shared" si="41"/>
        <v>0.005</v>
      </c>
      <c r="AC63" s="102"/>
      <c r="AD63" s="102"/>
      <c r="AE63" s="134"/>
      <c r="AF63" s="134"/>
      <c r="AG63" s="134"/>
      <c r="AH63" s="134"/>
      <c r="AI63" s="134"/>
      <c r="AJ63" s="134"/>
      <c r="AK63" s="134"/>
    </row>
    <row r="64">
      <c r="A64" s="101" t="s">
        <v>131</v>
      </c>
      <c r="B64" s="101" t="s">
        <v>1627</v>
      </c>
      <c r="C64" s="101">
        <v>12.0</v>
      </c>
      <c r="D64" s="101">
        <v>0.0</v>
      </c>
      <c r="E64" s="101">
        <v>0.0</v>
      </c>
      <c r="F64" s="101">
        <v>0.0</v>
      </c>
      <c r="G64" s="102">
        <f t="shared" si="33"/>
        <v>0</v>
      </c>
      <c r="H64" s="102">
        <f t="shared" si="34"/>
        <v>0</v>
      </c>
      <c r="I64" s="104">
        <v>0.0</v>
      </c>
      <c r="J64" s="101">
        <v>0.0</v>
      </c>
      <c r="K64" s="136">
        <v>0.0</v>
      </c>
      <c r="L64" s="101">
        <v>1.0</v>
      </c>
      <c r="M64" s="101">
        <v>12.0</v>
      </c>
      <c r="N64" s="136">
        <v>0.0</v>
      </c>
      <c r="O64" s="104">
        <v>0.0</v>
      </c>
      <c r="P64" s="101">
        <v>0.0</v>
      </c>
      <c r="Q64" s="136">
        <v>0.0</v>
      </c>
      <c r="R64" s="136">
        <v>0.05</v>
      </c>
      <c r="S64" s="140">
        <f t="shared" si="38"/>
        <v>0</v>
      </c>
      <c r="T64" s="102"/>
      <c r="U64" s="136">
        <v>0.05</v>
      </c>
      <c r="V64" s="140">
        <f t="shared" si="39"/>
        <v>0</v>
      </c>
      <c r="W64" s="102"/>
      <c r="X64" s="136">
        <v>0.05</v>
      </c>
      <c r="Y64" s="140">
        <f t="shared" si="40"/>
        <v>0.6</v>
      </c>
      <c r="Z64" s="102"/>
      <c r="AA64" s="136">
        <v>0.1</v>
      </c>
      <c r="AB64" s="141">
        <f t="shared" si="41"/>
        <v>0</v>
      </c>
      <c r="AC64" s="102"/>
      <c r="AD64" s="102"/>
      <c r="AE64" s="134"/>
      <c r="AF64" s="134"/>
      <c r="AG64" s="134"/>
      <c r="AH64" s="134"/>
      <c r="AI64" s="134"/>
      <c r="AJ64" s="134"/>
      <c r="AK64" s="134"/>
    </row>
    <row r="65">
      <c r="A65" s="101" t="s">
        <v>223</v>
      </c>
      <c r="B65" s="101"/>
      <c r="C65" s="101">
        <v>93.0</v>
      </c>
      <c r="D65" s="101">
        <v>3.0</v>
      </c>
      <c r="E65" s="101">
        <v>5.0</v>
      </c>
      <c r="F65" s="101">
        <v>5.0</v>
      </c>
      <c r="G65" s="102">
        <f t="shared" si="33"/>
        <v>465</v>
      </c>
      <c r="H65" s="102">
        <f t="shared" si="34"/>
        <v>465</v>
      </c>
      <c r="I65" s="101">
        <v>6.0</v>
      </c>
      <c r="J65" s="102">
        <f t="shared" ref="J65:J67" si="43">ROUNDDOWN(C65/I65,0)</f>
        <v>15</v>
      </c>
      <c r="K65" s="136">
        <f>IFERROR(__xludf.DUMMYFUNCTION("TO_PERCENT(C65/I65-J65)"),0.5)</f>
        <v>0.5</v>
      </c>
      <c r="L65" s="101">
        <v>50.0</v>
      </c>
      <c r="M65" s="102">
        <f t="shared" ref="M65:M67" si="44">ROUNDDOWN(C65/L65,0)</f>
        <v>1</v>
      </c>
      <c r="N65" s="136">
        <f>IFERROR(__xludf.DUMMYFUNCTION("TO_PERCENT(C65/L65-M65)"),0.8600000000000001)</f>
        <v>0.86</v>
      </c>
      <c r="O65" s="101">
        <v>8000.0</v>
      </c>
      <c r="P65" s="102">
        <f>ROUNDDOWN($C65*$AJ$9/$AG$9/O65,0)</f>
        <v>0</v>
      </c>
      <c r="Q65" s="136">
        <f>IFERROR(__xludf.DUMMYFUNCTION("TO_PERCENT($C65*$AJ$9/$AG$9/O65-P65)"),9.6875E-4)</f>
        <v>0.00096875</v>
      </c>
      <c r="R65" s="136">
        <v>0.05</v>
      </c>
      <c r="S65" s="140">
        <f t="shared" si="38"/>
        <v>3.781951563</v>
      </c>
      <c r="T65" s="102"/>
      <c r="U65" s="136">
        <v>0.05</v>
      </c>
      <c r="V65" s="140">
        <f t="shared" si="39"/>
        <v>0.775</v>
      </c>
      <c r="W65" s="102"/>
      <c r="X65" s="136">
        <v>0.05</v>
      </c>
      <c r="Y65" s="140">
        <f t="shared" si="40"/>
        <v>0.093</v>
      </c>
      <c r="Z65" s="102"/>
      <c r="AA65" s="136">
        <v>0.1</v>
      </c>
      <c r="AB65" s="141">
        <f t="shared" si="41"/>
        <v>0.000096875</v>
      </c>
      <c r="AC65" s="102"/>
      <c r="AD65" s="102"/>
      <c r="AE65" s="134"/>
      <c r="AF65" s="134"/>
      <c r="AG65" s="134"/>
      <c r="AH65" s="134"/>
      <c r="AI65" s="134"/>
      <c r="AJ65" s="134"/>
      <c r="AK65" s="134"/>
    </row>
    <row r="66">
      <c r="A66" s="101" t="s">
        <v>1632</v>
      </c>
      <c r="B66" s="101"/>
      <c r="C66" s="101">
        <v>186.0</v>
      </c>
      <c r="D66" s="101">
        <v>0.0</v>
      </c>
      <c r="E66" s="101">
        <v>7.0</v>
      </c>
      <c r="F66" s="101">
        <v>7.0</v>
      </c>
      <c r="G66" s="102">
        <f t="shared" si="33"/>
        <v>1302</v>
      </c>
      <c r="H66" s="102">
        <f t="shared" si="34"/>
        <v>1302</v>
      </c>
      <c r="I66" s="101">
        <v>5.0</v>
      </c>
      <c r="J66" s="102">
        <f t="shared" si="43"/>
        <v>37</v>
      </c>
      <c r="K66" s="136">
        <f>IFERROR(__xludf.DUMMYFUNCTION("TO_PERCENT(C66/I66-J66)"),0.20000000000000284)</f>
        <v>0.2</v>
      </c>
      <c r="L66" s="101">
        <v>30.0</v>
      </c>
      <c r="M66" s="102">
        <f t="shared" si="44"/>
        <v>6</v>
      </c>
      <c r="N66" s="136">
        <f>IFERROR(__xludf.DUMMYFUNCTION("TO_PERCENT(C66/L66-M66)"),0.20000000000000018)</f>
        <v>0.2</v>
      </c>
      <c r="O66" s="101">
        <v>1600.0</v>
      </c>
      <c r="P66" s="101">
        <v>0.0</v>
      </c>
      <c r="Q66" s="136">
        <v>0.02</v>
      </c>
      <c r="R66" s="136">
        <v>0.05</v>
      </c>
      <c r="S66" s="140">
        <f t="shared" si="38"/>
        <v>7.129</v>
      </c>
      <c r="T66" s="102"/>
      <c r="U66" s="136">
        <v>0.05</v>
      </c>
      <c r="V66" s="140">
        <f t="shared" si="39"/>
        <v>1.86</v>
      </c>
      <c r="W66" s="102"/>
      <c r="X66" s="136">
        <v>0.05</v>
      </c>
      <c r="Y66" s="140">
        <f t="shared" si="40"/>
        <v>0.31</v>
      </c>
      <c r="Z66" s="102"/>
      <c r="AA66" s="136">
        <v>0.1</v>
      </c>
      <c r="AB66" s="141">
        <f t="shared" si="41"/>
        <v>0.002</v>
      </c>
      <c r="AC66" s="102"/>
      <c r="AD66" s="102"/>
      <c r="AE66" s="134"/>
      <c r="AF66" s="134"/>
      <c r="AG66" s="134"/>
      <c r="AH66" s="134"/>
      <c r="AI66" s="134"/>
      <c r="AJ66" s="134"/>
      <c r="AK66" s="134"/>
    </row>
    <row r="67">
      <c r="A67" s="101" t="s">
        <v>1633</v>
      </c>
      <c r="B67" s="101"/>
      <c r="C67" s="101">
        <v>270.0</v>
      </c>
      <c r="D67" s="101">
        <v>0.0</v>
      </c>
      <c r="E67" s="101">
        <v>12.0</v>
      </c>
      <c r="F67" s="101">
        <v>12.0</v>
      </c>
      <c r="G67" s="102">
        <f t="shared" si="33"/>
        <v>3240</v>
      </c>
      <c r="H67" s="102">
        <f t="shared" si="34"/>
        <v>3240</v>
      </c>
      <c r="I67" s="101">
        <v>5.0</v>
      </c>
      <c r="J67" s="102">
        <f t="shared" si="43"/>
        <v>54</v>
      </c>
      <c r="K67" s="136">
        <f>IFERROR(__xludf.DUMMYFUNCTION("TO_PERCENT(C67/I67-J67)"),0.0)</f>
        <v>0</v>
      </c>
      <c r="L67" s="101">
        <v>15.0</v>
      </c>
      <c r="M67" s="102">
        <f t="shared" si="44"/>
        <v>18</v>
      </c>
      <c r="N67" s="136">
        <f>IFERROR(__xludf.DUMMYFUNCTION("TO_PERCENT(C67/L67-M67)"),0.0)</f>
        <v>0</v>
      </c>
      <c r="O67" s="101">
        <v>400.0</v>
      </c>
      <c r="P67" s="101">
        <v>0.0</v>
      </c>
      <c r="Q67" s="136">
        <v>0.1</v>
      </c>
      <c r="R67" s="102"/>
      <c r="S67" s="140"/>
      <c r="T67" s="101">
        <v>49.0</v>
      </c>
      <c r="U67" s="102"/>
      <c r="V67" s="140"/>
      <c r="W67" s="101">
        <v>14.0</v>
      </c>
      <c r="X67" s="102"/>
      <c r="Y67" s="140"/>
      <c r="Z67" s="101">
        <v>5.0</v>
      </c>
      <c r="AA67" s="102"/>
      <c r="AB67" s="141"/>
      <c r="AC67" s="102"/>
      <c r="AD67" s="102"/>
      <c r="AE67" s="134"/>
      <c r="AF67" s="134"/>
      <c r="AG67" s="134"/>
      <c r="AH67" s="134"/>
      <c r="AI67" s="134"/>
      <c r="AJ67" s="134"/>
      <c r="AK67" s="134"/>
    </row>
    <row r="68">
      <c r="A68" s="101" t="s">
        <v>1634</v>
      </c>
      <c r="B68" s="101" t="s">
        <v>1622</v>
      </c>
      <c r="C68" s="101">
        <v>0.0</v>
      </c>
      <c r="D68" s="101">
        <v>0.0</v>
      </c>
      <c r="E68" s="101"/>
      <c r="F68" s="101"/>
      <c r="G68" s="104">
        <v>100.0</v>
      </c>
      <c r="H68" s="101">
        <v>200.0</v>
      </c>
      <c r="I68" s="101"/>
      <c r="J68" s="102"/>
      <c r="K68" s="136"/>
      <c r="L68" s="101"/>
      <c r="M68" s="102"/>
      <c r="N68" s="136"/>
      <c r="O68" s="101"/>
      <c r="P68" s="101"/>
      <c r="Q68" s="136"/>
      <c r="R68" s="102"/>
      <c r="S68" s="140"/>
      <c r="T68" s="101"/>
      <c r="U68" s="102"/>
      <c r="V68" s="140"/>
      <c r="W68" s="101"/>
      <c r="X68" s="102"/>
      <c r="Y68" s="140"/>
      <c r="Z68" s="101"/>
      <c r="AA68" s="102"/>
      <c r="AB68" s="141"/>
      <c r="AC68" s="102"/>
      <c r="AD68" s="102"/>
      <c r="AE68" s="134"/>
      <c r="AF68" s="134"/>
      <c r="AG68" s="134"/>
      <c r="AH68" s="134"/>
      <c r="AI68" s="134"/>
      <c r="AJ68" s="134"/>
      <c r="AK68" s="134"/>
    </row>
    <row r="69">
      <c r="A69" s="101" t="s">
        <v>1635</v>
      </c>
      <c r="B69" s="101" t="s">
        <v>1625</v>
      </c>
      <c r="C69" s="101">
        <v>0.0</v>
      </c>
      <c r="D69" s="101">
        <v>0.0</v>
      </c>
      <c r="E69" s="101"/>
      <c r="F69" s="101"/>
      <c r="G69" s="104">
        <v>200.0</v>
      </c>
      <c r="H69" s="101">
        <v>500.0</v>
      </c>
      <c r="I69" s="101"/>
      <c r="J69" s="102"/>
      <c r="K69" s="136"/>
      <c r="L69" s="101"/>
      <c r="M69" s="102"/>
      <c r="N69" s="136"/>
      <c r="O69" s="101"/>
      <c r="P69" s="101"/>
      <c r="Q69" s="136"/>
      <c r="R69" s="102"/>
      <c r="S69" s="140"/>
      <c r="T69" s="101"/>
      <c r="U69" s="102"/>
      <c r="V69" s="140"/>
      <c r="W69" s="101"/>
      <c r="X69" s="102"/>
      <c r="Y69" s="140"/>
      <c r="Z69" s="101"/>
      <c r="AA69" s="102"/>
      <c r="AB69" s="141"/>
      <c r="AC69" s="102"/>
      <c r="AD69" s="102"/>
      <c r="AE69" s="134"/>
      <c r="AF69" s="134"/>
      <c r="AG69" s="134"/>
      <c r="AH69" s="134"/>
      <c r="AI69" s="134"/>
      <c r="AJ69" s="134"/>
      <c r="AK69" s="134"/>
    </row>
    <row r="70">
      <c r="A70" s="101" t="s">
        <v>1636</v>
      </c>
      <c r="B70" s="101" t="s">
        <v>1627</v>
      </c>
      <c r="C70" s="101">
        <v>0.0</v>
      </c>
      <c r="D70" s="101">
        <v>0.0</v>
      </c>
      <c r="E70" s="101"/>
      <c r="F70" s="101"/>
      <c r="G70" s="104">
        <v>500.0</v>
      </c>
      <c r="H70" s="101">
        <v>1500.0</v>
      </c>
      <c r="I70" s="101"/>
      <c r="J70" s="102"/>
      <c r="K70" s="136"/>
      <c r="L70" s="101"/>
      <c r="M70" s="102"/>
      <c r="N70" s="136"/>
      <c r="O70" s="101"/>
      <c r="P70" s="101"/>
      <c r="Q70" s="136"/>
      <c r="R70" s="102"/>
      <c r="S70" s="140"/>
      <c r="T70" s="101"/>
      <c r="U70" s="102"/>
      <c r="V70" s="140"/>
      <c r="W70" s="101"/>
      <c r="X70" s="102"/>
      <c r="Y70" s="140"/>
      <c r="Z70" s="101"/>
      <c r="AA70" s="102"/>
      <c r="AB70" s="141"/>
      <c r="AC70" s="102"/>
      <c r="AD70" s="102"/>
      <c r="AE70" s="134"/>
      <c r="AF70" s="134"/>
      <c r="AG70" s="134"/>
      <c r="AH70" s="134"/>
      <c r="AI70" s="134"/>
      <c r="AJ70" s="134"/>
      <c r="AK70" s="134"/>
    </row>
    <row r="71">
      <c r="A71" s="135" t="s">
        <v>1640</v>
      </c>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5"/>
      <c r="AE71" s="134"/>
      <c r="AF71" s="134"/>
      <c r="AG71" s="134"/>
      <c r="AH71" s="134"/>
      <c r="AI71" s="134"/>
      <c r="AJ71" s="134"/>
      <c r="AK71" s="134"/>
    </row>
    <row r="72">
      <c r="A72" s="101" t="s">
        <v>1621</v>
      </c>
      <c r="B72" s="101" t="s">
        <v>1622</v>
      </c>
      <c r="C72" s="101">
        <f t="shared" ref="C72:C74" si="45">ROUND(C12*2.3,0)</f>
        <v>9</v>
      </c>
      <c r="D72" s="101">
        <v>0.0</v>
      </c>
      <c r="E72" s="101">
        <v>7.0</v>
      </c>
      <c r="F72" s="101">
        <v>8.0</v>
      </c>
      <c r="G72" s="102">
        <f t="shared" ref="G72:G82" si="46">E72*C72</f>
        <v>63</v>
      </c>
      <c r="H72" s="102">
        <f t="shared" ref="H72:H82" si="47">F72*C72</f>
        <v>72</v>
      </c>
      <c r="I72" s="101">
        <v>9.0</v>
      </c>
      <c r="J72" s="102">
        <f t="shared" ref="J72:J78" si="48">ROUNDDOWN(C72/I72,0)</f>
        <v>1</v>
      </c>
      <c r="K72" s="136">
        <f>IFERROR(__xludf.DUMMYFUNCTION("TO_PERCENT(C72/I72-J72)"),0.0)</f>
        <v>0</v>
      </c>
      <c r="L72" s="101">
        <v>500.0</v>
      </c>
      <c r="M72" s="102">
        <f t="shared" ref="M72:M78" si="49">ROUNDDOWN(C72/L72,0)</f>
        <v>0</v>
      </c>
      <c r="N72" s="136">
        <f>IFERROR(__xludf.DUMMYFUNCTION("TO_PERCENT(C72/L72-M72)"),0.018)</f>
        <v>0.018</v>
      </c>
      <c r="O72" s="101">
        <v>10000.0</v>
      </c>
      <c r="P72" s="102">
        <f t="shared" ref="P72:P78" si="50">ROUNDDOWN($C72*$AJ$10/$AG$10/O72,0)</f>
        <v>0</v>
      </c>
      <c r="Q72" s="136">
        <f>IFERROR(__xludf.DUMMYFUNCTION("TO_PERCENT($C72*$AJ$10/$AG$10/O72-P72)"),1.2857142857142858E-4)</f>
        <v>0.0001285714286</v>
      </c>
      <c r="R72" s="136">
        <v>0.05</v>
      </c>
      <c r="S72" s="140">
        <f t="shared" ref="S72:S81" si="51">R72*(C72-J72-K72-M72-N72-P72-Q72)</f>
        <v>0.3990935714</v>
      </c>
      <c r="T72" s="102"/>
      <c r="U72" s="136">
        <v>0.05</v>
      </c>
      <c r="V72" s="140">
        <f t="shared" ref="V72:V81" si="52">U72*(J72+K72)</f>
        <v>0.05</v>
      </c>
      <c r="W72" s="102"/>
      <c r="X72" s="136">
        <v>0.05</v>
      </c>
      <c r="Y72" s="140">
        <f t="shared" ref="Y72:Y81" si="53">X72*(M72+N72)</f>
        <v>0.0009</v>
      </c>
      <c r="Z72" s="102"/>
      <c r="AA72" s="136">
        <v>0.1</v>
      </c>
      <c r="AB72" s="141">
        <f t="shared" ref="AB72:AB81" si="54">AA72*(P72+Q72)</f>
        <v>0.00001285714286</v>
      </c>
      <c r="AC72" s="102"/>
      <c r="AD72" s="102"/>
      <c r="AE72" s="134"/>
      <c r="AF72" s="134"/>
      <c r="AG72" s="134"/>
      <c r="AH72" s="134"/>
      <c r="AI72" s="134"/>
      <c r="AJ72" s="134"/>
      <c r="AK72" s="134"/>
    </row>
    <row r="73">
      <c r="A73" s="101" t="s">
        <v>1624</v>
      </c>
      <c r="B73" s="101" t="s">
        <v>1625</v>
      </c>
      <c r="C73" s="101">
        <f t="shared" si="45"/>
        <v>18</v>
      </c>
      <c r="D73" s="101">
        <v>0.0</v>
      </c>
      <c r="E73" s="101">
        <v>14.0</v>
      </c>
      <c r="F73" s="101">
        <v>16.0</v>
      </c>
      <c r="G73" s="102">
        <f t="shared" si="46"/>
        <v>252</v>
      </c>
      <c r="H73" s="102">
        <f t="shared" si="47"/>
        <v>288</v>
      </c>
      <c r="I73" s="101">
        <v>4.0</v>
      </c>
      <c r="J73" s="102">
        <f t="shared" si="48"/>
        <v>4</v>
      </c>
      <c r="K73" s="136">
        <f>IFERROR(__xludf.DUMMYFUNCTION("TO_PERCENT(C73/I73-J73)"),0.5)</f>
        <v>0.5</v>
      </c>
      <c r="L73" s="101">
        <v>200.0</v>
      </c>
      <c r="M73" s="102">
        <f t="shared" si="49"/>
        <v>0</v>
      </c>
      <c r="N73" s="136">
        <f>IFERROR(__xludf.DUMMYFUNCTION("TO_PERCENT(C73/L73-M73)"),0.09)</f>
        <v>0.09</v>
      </c>
      <c r="O73" s="101">
        <v>4000.0</v>
      </c>
      <c r="P73" s="102">
        <f t="shared" si="50"/>
        <v>0</v>
      </c>
      <c r="Q73" s="136">
        <f>IFERROR(__xludf.DUMMYFUNCTION("TO_PERCENT($C73*$AJ$10/$AG$10/O73-P73)"),6.428571428571429E-4)</f>
        <v>0.0006428571429</v>
      </c>
      <c r="R73" s="136">
        <v>0.05</v>
      </c>
      <c r="S73" s="140">
        <f t="shared" si="51"/>
        <v>0.6704678571</v>
      </c>
      <c r="T73" s="102"/>
      <c r="U73" s="136">
        <v>0.05</v>
      </c>
      <c r="V73" s="140">
        <f t="shared" si="52"/>
        <v>0.225</v>
      </c>
      <c r="W73" s="102"/>
      <c r="X73" s="136">
        <v>0.05</v>
      </c>
      <c r="Y73" s="140">
        <f t="shared" si="53"/>
        <v>0.0045</v>
      </c>
      <c r="Z73" s="102"/>
      <c r="AA73" s="136">
        <v>0.1</v>
      </c>
      <c r="AB73" s="141">
        <f t="shared" si="54"/>
        <v>0.00006428571429</v>
      </c>
      <c r="AC73" s="102"/>
      <c r="AD73" s="102"/>
      <c r="AE73" s="134"/>
      <c r="AF73" s="134"/>
      <c r="AG73" s="134"/>
      <c r="AH73" s="134"/>
      <c r="AI73" s="134"/>
      <c r="AJ73" s="134"/>
      <c r="AK73" s="134"/>
    </row>
    <row r="74">
      <c r="A74" s="101" t="s">
        <v>1626</v>
      </c>
      <c r="B74" s="101" t="s">
        <v>1627</v>
      </c>
      <c r="C74" s="101">
        <f t="shared" si="45"/>
        <v>46</v>
      </c>
      <c r="D74" s="101">
        <v>0.0</v>
      </c>
      <c r="E74" s="101">
        <v>16.0</v>
      </c>
      <c r="F74" s="101">
        <v>16.0</v>
      </c>
      <c r="G74" s="102">
        <f t="shared" si="46"/>
        <v>736</v>
      </c>
      <c r="H74" s="102">
        <f t="shared" si="47"/>
        <v>736</v>
      </c>
      <c r="I74" s="101">
        <v>5.0</v>
      </c>
      <c r="J74" s="102">
        <f t="shared" si="48"/>
        <v>9</v>
      </c>
      <c r="K74" s="136">
        <f>IFERROR(__xludf.DUMMYFUNCTION("TO_PERCENT(C74/I74-J74)"),0.1999999999999993)</f>
        <v>0.2</v>
      </c>
      <c r="L74" s="101">
        <v>10.0</v>
      </c>
      <c r="M74" s="102">
        <f t="shared" si="49"/>
        <v>4</v>
      </c>
      <c r="N74" s="136">
        <f>IFERROR(__xludf.DUMMYFUNCTION("TO_PERCENT(C74/L74-M74)"),0.5999999999999996)</f>
        <v>0.6</v>
      </c>
      <c r="O74" s="101">
        <v>300.0</v>
      </c>
      <c r="P74" s="102">
        <f t="shared" si="50"/>
        <v>0</v>
      </c>
      <c r="Q74" s="136">
        <f>IFERROR(__xludf.DUMMYFUNCTION("TO_PERCENT($C74*$AJ$10/$AG$10/O74-P74)"),0.021904761904761903)</f>
        <v>0.0219047619</v>
      </c>
      <c r="R74" s="136">
        <v>0.05</v>
      </c>
      <c r="S74" s="140">
        <f t="shared" si="51"/>
        <v>1.608904762</v>
      </c>
      <c r="T74" s="102"/>
      <c r="U74" s="136">
        <v>0.05</v>
      </c>
      <c r="V74" s="140">
        <f t="shared" si="52"/>
        <v>0.46</v>
      </c>
      <c r="W74" s="102"/>
      <c r="X74" s="136">
        <v>0.05</v>
      </c>
      <c r="Y74" s="140">
        <f t="shared" si="53"/>
        <v>0.23</v>
      </c>
      <c r="Z74" s="102"/>
      <c r="AA74" s="136">
        <v>0.1</v>
      </c>
      <c r="AB74" s="141">
        <f t="shared" si="54"/>
        <v>0.00219047619</v>
      </c>
      <c r="AC74" s="102"/>
      <c r="AD74" s="102"/>
      <c r="AE74" s="134"/>
      <c r="AF74" s="134"/>
      <c r="AG74" s="134"/>
      <c r="AH74" s="134"/>
      <c r="AI74" s="134"/>
      <c r="AJ74" s="134"/>
      <c r="AK74" s="134"/>
    </row>
    <row r="75">
      <c r="A75" s="101" t="s">
        <v>1628</v>
      </c>
      <c r="B75" s="102"/>
      <c r="C75" s="101">
        <v>7.0</v>
      </c>
      <c r="D75" s="101">
        <v>0.0</v>
      </c>
      <c r="E75" s="101">
        <v>7.0</v>
      </c>
      <c r="F75" s="101">
        <v>8.0</v>
      </c>
      <c r="G75" s="102">
        <f t="shared" si="46"/>
        <v>49</v>
      </c>
      <c r="H75" s="102">
        <f t="shared" si="47"/>
        <v>56</v>
      </c>
      <c r="I75" s="101">
        <v>10.0</v>
      </c>
      <c r="J75" s="102">
        <f t="shared" si="48"/>
        <v>0</v>
      </c>
      <c r="K75" s="136">
        <f>IFERROR(__xludf.DUMMYFUNCTION("TO_PERCENT(C75/I75-J75)"),0.7)</f>
        <v>0.7</v>
      </c>
      <c r="L75" s="101">
        <v>200.0</v>
      </c>
      <c r="M75" s="102">
        <f t="shared" si="49"/>
        <v>0</v>
      </c>
      <c r="N75" s="136">
        <f>IFERROR(__xludf.DUMMYFUNCTION("TO_PERCENT(C75/L75-M75)"),0.035)</f>
        <v>0.035</v>
      </c>
      <c r="O75" s="101">
        <v>4000.0</v>
      </c>
      <c r="P75" s="102">
        <f t="shared" si="50"/>
        <v>0</v>
      </c>
      <c r="Q75" s="136">
        <f>IFERROR(__xludf.DUMMYFUNCTION("TO_PERCENT($C75*$AJ$10/$AG$10/O75-P75)"),2.5E-4)</f>
        <v>0.00025</v>
      </c>
      <c r="R75" s="136">
        <v>0.05</v>
      </c>
      <c r="S75" s="140">
        <f t="shared" si="51"/>
        <v>0.3132375</v>
      </c>
      <c r="T75" s="102"/>
      <c r="U75" s="136">
        <v>0.05</v>
      </c>
      <c r="V75" s="140">
        <f t="shared" si="52"/>
        <v>0.035</v>
      </c>
      <c r="W75" s="102"/>
      <c r="X75" s="136">
        <v>0.05</v>
      </c>
      <c r="Y75" s="140">
        <f t="shared" si="53"/>
        <v>0.00175</v>
      </c>
      <c r="Z75" s="102"/>
      <c r="AA75" s="136">
        <v>0.1</v>
      </c>
      <c r="AB75" s="141">
        <f t="shared" si="54"/>
        <v>0.000025</v>
      </c>
      <c r="AC75" s="102"/>
      <c r="AD75" s="102"/>
      <c r="AE75" s="134"/>
      <c r="AF75" s="134"/>
      <c r="AG75" s="134"/>
      <c r="AH75" s="134"/>
      <c r="AI75" s="134"/>
      <c r="AJ75" s="134"/>
      <c r="AK75" s="134"/>
    </row>
    <row r="76">
      <c r="A76" s="101" t="s">
        <v>1629</v>
      </c>
      <c r="B76" s="102"/>
      <c r="C76" s="101">
        <f t="shared" ref="C76:C78" si="55">ROUND(C16*2.3,0)</f>
        <v>37</v>
      </c>
      <c r="D76" s="101">
        <v>0.0</v>
      </c>
      <c r="E76" s="101">
        <v>14.0</v>
      </c>
      <c r="F76" s="101">
        <v>16.0</v>
      </c>
      <c r="G76" s="102">
        <f t="shared" si="46"/>
        <v>518</v>
      </c>
      <c r="H76" s="102">
        <f t="shared" si="47"/>
        <v>592</v>
      </c>
      <c r="I76" s="101">
        <v>6.0</v>
      </c>
      <c r="J76" s="102">
        <f t="shared" si="48"/>
        <v>6</v>
      </c>
      <c r="K76" s="136">
        <f>IFERROR(__xludf.DUMMYFUNCTION("TO_PERCENT(C76/I76-J76)"),0.16666666666666696)</f>
        <v>0.1666666667</v>
      </c>
      <c r="L76" s="101">
        <v>120.0</v>
      </c>
      <c r="M76" s="102">
        <f t="shared" si="49"/>
        <v>0</v>
      </c>
      <c r="N76" s="136">
        <f>IFERROR(__xludf.DUMMYFUNCTION("TO_PERCENT(C76/L76-M76)"),0.30833333333333335)</f>
        <v>0.3083333333</v>
      </c>
      <c r="O76" s="101">
        <v>2400.0</v>
      </c>
      <c r="P76" s="102">
        <f t="shared" si="50"/>
        <v>0</v>
      </c>
      <c r="Q76" s="136">
        <f>IFERROR(__xludf.DUMMYFUNCTION("TO_PERCENT($C76*$AJ$10/$AG$10/O76-P76)"),0.002202380952380952)</f>
        <v>0.002202380952</v>
      </c>
      <c r="R76" s="136">
        <v>0.05</v>
      </c>
      <c r="S76" s="140">
        <f t="shared" si="51"/>
        <v>1.526139881</v>
      </c>
      <c r="T76" s="102"/>
      <c r="U76" s="136">
        <v>0.05</v>
      </c>
      <c r="V76" s="140">
        <f t="shared" si="52"/>
        <v>0.3083333333</v>
      </c>
      <c r="W76" s="102"/>
      <c r="X76" s="136">
        <v>0.05</v>
      </c>
      <c r="Y76" s="140">
        <f t="shared" si="53"/>
        <v>0.01541666667</v>
      </c>
      <c r="Z76" s="102"/>
      <c r="AA76" s="136">
        <v>0.1</v>
      </c>
      <c r="AB76" s="141">
        <f t="shared" si="54"/>
        <v>0.0002202380952</v>
      </c>
      <c r="AC76" s="102"/>
      <c r="AD76" s="102"/>
      <c r="AE76" s="134"/>
      <c r="AF76" s="134"/>
      <c r="AG76" s="134"/>
      <c r="AH76" s="134"/>
      <c r="AI76" s="134"/>
      <c r="AJ76" s="134"/>
      <c r="AK76" s="134"/>
    </row>
    <row r="77">
      <c r="A77" s="101" t="s">
        <v>107</v>
      </c>
      <c r="B77" s="101" t="s">
        <v>1627</v>
      </c>
      <c r="C77" s="101">
        <f t="shared" si="55"/>
        <v>161</v>
      </c>
      <c r="D77" s="101">
        <v>0.0</v>
      </c>
      <c r="E77" s="101">
        <v>9.0</v>
      </c>
      <c r="F77" s="101">
        <v>9.0</v>
      </c>
      <c r="G77" s="102">
        <f t="shared" si="46"/>
        <v>1449</v>
      </c>
      <c r="H77" s="102">
        <f t="shared" si="47"/>
        <v>1449</v>
      </c>
      <c r="I77" s="101">
        <v>5.0</v>
      </c>
      <c r="J77" s="102">
        <f t="shared" si="48"/>
        <v>32</v>
      </c>
      <c r="K77" s="136">
        <f>IFERROR(__xludf.DUMMYFUNCTION("TO_PERCENT(C77/I77-J77)"),0.20000000000000284)</f>
        <v>0.2</v>
      </c>
      <c r="L77" s="101">
        <v>500.0</v>
      </c>
      <c r="M77" s="102">
        <f t="shared" si="49"/>
        <v>0</v>
      </c>
      <c r="N77" s="136">
        <f>IFERROR(__xludf.DUMMYFUNCTION("TO_PERCENT(C77/L77-M77)"),0.322)</f>
        <v>0.322</v>
      </c>
      <c r="O77" s="101">
        <v>10000.0</v>
      </c>
      <c r="P77" s="102">
        <f t="shared" si="50"/>
        <v>0</v>
      </c>
      <c r="Q77" s="136">
        <f>IFERROR(__xludf.DUMMYFUNCTION("TO_PERCENT($C77*$AJ$10/$AG$10/O77-P77)"),0.0023)</f>
        <v>0.0023</v>
      </c>
      <c r="R77" s="136">
        <v>0.05</v>
      </c>
      <c r="S77" s="140">
        <f t="shared" si="51"/>
        <v>6.423785</v>
      </c>
      <c r="T77" s="102"/>
      <c r="U77" s="136">
        <v>0.05</v>
      </c>
      <c r="V77" s="140">
        <f t="shared" si="52"/>
        <v>1.61</v>
      </c>
      <c r="W77" s="102"/>
      <c r="X77" s="136">
        <v>0.05</v>
      </c>
      <c r="Y77" s="140">
        <f t="shared" si="53"/>
        <v>0.0161</v>
      </c>
      <c r="Z77" s="102"/>
      <c r="AA77" s="136">
        <v>0.1</v>
      </c>
      <c r="AB77" s="141">
        <f t="shared" si="54"/>
        <v>0.00023</v>
      </c>
      <c r="AC77" s="102"/>
      <c r="AD77" s="102"/>
      <c r="AE77" s="134"/>
      <c r="AF77" s="134"/>
      <c r="AG77" s="134"/>
      <c r="AH77" s="134"/>
      <c r="AI77" s="134"/>
      <c r="AJ77" s="134"/>
      <c r="AK77" s="134"/>
    </row>
    <row r="78">
      <c r="A78" s="101" t="s">
        <v>1630</v>
      </c>
      <c r="B78" s="101" t="s">
        <v>1631</v>
      </c>
      <c r="C78" s="101">
        <f t="shared" si="55"/>
        <v>414</v>
      </c>
      <c r="D78" s="101">
        <v>5.0</v>
      </c>
      <c r="E78" s="101">
        <v>9.0</v>
      </c>
      <c r="F78" s="101">
        <v>9.0</v>
      </c>
      <c r="G78" s="102">
        <f t="shared" si="46"/>
        <v>3726</v>
      </c>
      <c r="H78" s="102">
        <f t="shared" si="47"/>
        <v>3726</v>
      </c>
      <c r="I78" s="101">
        <v>5.0</v>
      </c>
      <c r="J78" s="102">
        <f t="shared" si="48"/>
        <v>82</v>
      </c>
      <c r="K78" s="136">
        <f>IFERROR(__xludf.DUMMYFUNCTION("TO_PERCENT(C78/I78-J78)"),0.7999999999999972)</f>
        <v>0.8</v>
      </c>
      <c r="L78" s="101">
        <v>30.0</v>
      </c>
      <c r="M78" s="102">
        <f t="shared" si="49"/>
        <v>13</v>
      </c>
      <c r="N78" s="136">
        <f>IFERROR(__xludf.DUMMYFUNCTION("TO_PERCENT(C78/L78-M78)"),0.8000000000000007)</f>
        <v>0.8</v>
      </c>
      <c r="O78" s="101">
        <v>600.0</v>
      </c>
      <c r="P78" s="102">
        <f t="shared" si="50"/>
        <v>0</v>
      </c>
      <c r="Q78" s="136">
        <f>IFERROR(__xludf.DUMMYFUNCTION("TO_PERCENT($C78*$AJ$10/$AG$10/O78-P78)"),0.09857142857142857)</f>
        <v>0.09857142857</v>
      </c>
      <c r="R78" s="136">
        <v>0.05</v>
      </c>
      <c r="S78" s="140">
        <f t="shared" si="51"/>
        <v>15.86507143</v>
      </c>
      <c r="T78" s="102"/>
      <c r="U78" s="136">
        <v>0.05</v>
      </c>
      <c r="V78" s="140">
        <f t="shared" si="52"/>
        <v>4.14</v>
      </c>
      <c r="W78" s="102"/>
      <c r="X78" s="136">
        <v>0.05</v>
      </c>
      <c r="Y78" s="140">
        <f t="shared" si="53"/>
        <v>0.69</v>
      </c>
      <c r="Z78" s="102"/>
      <c r="AA78" s="136">
        <v>0.1</v>
      </c>
      <c r="AB78" s="141">
        <f t="shared" si="54"/>
        <v>0.009857142857</v>
      </c>
      <c r="AC78" s="102"/>
      <c r="AD78" s="102"/>
      <c r="AE78" s="134"/>
      <c r="AF78" s="134"/>
      <c r="AG78" s="134"/>
      <c r="AH78" s="134"/>
      <c r="AI78" s="134"/>
      <c r="AJ78" s="134"/>
      <c r="AK78" s="134"/>
    </row>
    <row r="79">
      <c r="A79" s="101" t="s">
        <v>131</v>
      </c>
      <c r="B79" s="101" t="s">
        <v>1627</v>
      </c>
      <c r="C79" s="101">
        <v>13.0</v>
      </c>
      <c r="D79" s="101">
        <v>0.0</v>
      </c>
      <c r="E79" s="101">
        <v>0.0</v>
      </c>
      <c r="F79" s="101">
        <v>0.0</v>
      </c>
      <c r="G79" s="102">
        <f t="shared" si="46"/>
        <v>0</v>
      </c>
      <c r="H79" s="102">
        <f t="shared" si="47"/>
        <v>0</v>
      </c>
      <c r="I79" s="104">
        <v>0.0</v>
      </c>
      <c r="J79" s="101">
        <v>0.0</v>
      </c>
      <c r="K79" s="136">
        <v>0.0</v>
      </c>
      <c r="L79" s="101">
        <v>1.0</v>
      </c>
      <c r="M79" s="101">
        <v>13.0</v>
      </c>
      <c r="N79" s="136">
        <v>0.0</v>
      </c>
      <c r="O79" s="104">
        <v>0.0</v>
      </c>
      <c r="P79" s="101">
        <v>0.0</v>
      </c>
      <c r="Q79" s="136">
        <v>0.0</v>
      </c>
      <c r="R79" s="136">
        <v>0.05</v>
      </c>
      <c r="S79" s="140">
        <f t="shared" si="51"/>
        <v>0</v>
      </c>
      <c r="T79" s="102"/>
      <c r="U79" s="136">
        <v>0.05</v>
      </c>
      <c r="V79" s="140">
        <f t="shared" si="52"/>
        <v>0</v>
      </c>
      <c r="W79" s="102"/>
      <c r="X79" s="136">
        <v>0.05</v>
      </c>
      <c r="Y79" s="140">
        <f t="shared" si="53"/>
        <v>0.65</v>
      </c>
      <c r="Z79" s="102"/>
      <c r="AA79" s="136">
        <v>0.1</v>
      </c>
      <c r="AB79" s="141">
        <f t="shared" si="54"/>
        <v>0</v>
      </c>
      <c r="AC79" s="102"/>
      <c r="AD79" s="102"/>
      <c r="AE79" s="134"/>
      <c r="AF79" s="134"/>
      <c r="AG79" s="134"/>
      <c r="AH79" s="134"/>
      <c r="AI79" s="134"/>
      <c r="AJ79" s="134"/>
      <c r="AK79" s="134"/>
    </row>
    <row r="80">
      <c r="A80" s="101" t="s">
        <v>223</v>
      </c>
      <c r="B80" s="101"/>
      <c r="C80" s="101">
        <v>97.0</v>
      </c>
      <c r="D80" s="101">
        <v>3.0</v>
      </c>
      <c r="E80" s="101">
        <v>5.0</v>
      </c>
      <c r="F80" s="101">
        <v>5.0</v>
      </c>
      <c r="G80" s="102">
        <f t="shared" si="46"/>
        <v>485</v>
      </c>
      <c r="H80" s="102">
        <f t="shared" si="47"/>
        <v>485</v>
      </c>
      <c r="I80" s="101">
        <v>6.0</v>
      </c>
      <c r="J80" s="102">
        <f t="shared" ref="J80:J82" si="56">ROUNDDOWN(C80/I80,0)</f>
        <v>16</v>
      </c>
      <c r="K80" s="136">
        <f>IFERROR(__xludf.DUMMYFUNCTION("TO_PERCENT(C80/I80-J80)"),0.16666666666666785)</f>
        <v>0.1666666667</v>
      </c>
      <c r="L80" s="101">
        <v>50.0</v>
      </c>
      <c r="M80" s="102">
        <f t="shared" ref="M80:M82" si="57">ROUNDDOWN(C80/L80,0)</f>
        <v>1</v>
      </c>
      <c r="N80" s="136">
        <f>IFERROR(__xludf.DUMMYFUNCTION("TO_PERCENT(C80/L80-M80)"),0.94)</f>
        <v>0.94</v>
      </c>
      <c r="O80" s="101">
        <v>8000.0</v>
      </c>
      <c r="P80" s="102">
        <f>ROUNDDOWN($C80*$AJ$10/$AG$10/O80,0)</f>
        <v>0</v>
      </c>
      <c r="Q80" s="136">
        <f>IFERROR(__xludf.DUMMYFUNCTION("TO_PERCENT($C80*$AJ$10/$AG$10/O80-P80)"),0.0017321428571428572)</f>
        <v>0.001732142857</v>
      </c>
      <c r="R80" s="136">
        <v>0.05</v>
      </c>
      <c r="S80" s="140">
        <f t="shared" si="51"/>
        <v>3.94458006</v>
      </c>
      <c r="T80" s="102"/>
      <c r="U80" s="136">
        <v>0.05</v>
      </c>
      <c r="V80" s="140">
        <f t="shared" si="52"/>
        <v>0.8083333333</v>
      </c>
      <c r="W80" s="102"/>
      <c r="X80" s="136">
        <v>0.05</v>
      </c>
      <c r="Y80" s="140">
        <f t="shared" si="53"/>
        <v>0.097</v>
      </c>
      <c r="Z80" s="102"/>
      <c r="AA80" s="136">
        <v>0.1</v>
      </c>
      <c r="AB80" s="141">
        <f t="shared" si="54"/>
        <v>0.0001732142857</v>
      </c>
      <c r="AC80" s="102"/>
      <c r="AD80" s="102"/>
      <c r="AE80" s="134"/>
      <c r="AF80" s="134"/>
      <c r="AG80" s="134"/>
      <c r="AH80" s="134"/>
      <c r="AI80" s="134"/>
      <c r="AJ80" s="134"/>
      <c r="AK80" s="134"/>
    </row>
    <row r="81">
      <c r="A81" s="101" t="s">
        <v>1632</v>
      </c>
      <c r="B81" s="101"/>
      <c r="C81" s="101">
        <v>194.0</v>
      </c>
      <c r="D81" s="101">
        <v>0.0</v>
      </c>
      <c r="E81" s="101">
        <v>7.0</v>
      </c>
      <c r="F81" s="101">
        <v>7.0</v>
      </c>
      <c r="G81" s="102">
        <f t="shared" si="46"/>
        <v>1358</v>
      </c>
      <c r="H81" s="102">
        <f t="shared" si="47"/>
        <v>1358</v>
      </c>
      <c r="I81" s="101">
        <v>5.0</v>
      </c>
      <c r="J81" s="102">
        <f t="shared" si="56"/>
        <v>38</v>
      </c>
      <c r="K81" s="136">
        <f>IFERROR(__xludf.DUMMYFUNCTION("TO_PERCENT(C81/I81-J81)"),0.7999999999999972)</f>
        <v>0.8</v>
      </c>
      <c r="L81" s="101">
        <v>30.0</v>
      </c>
      <c r="M81" s="102">
        <f t="shared" si="57"/>
        <v>6</v>
      </c>
      <c r="N81" s="136">
        <f>IFERROR(__xludf.DUMMYFUNCTION("TO_PERCENT(C81/L81-M81)"),0.4666666666666668)</f>
        <v>0.4666666667</v>
      </c>
      <c r="O81" s="101">
        <v>1600.0</v>
      </c>
      <c r="P81" s="101">
        <v>0.0</v>
      </c>
      <c r="Q81" s="136">
        <v>0.05</v>
      </c>
      <c r="R81" s="136">
        <v>0.05</v>
      </c>
      <c r="S81" s="140">
        <f t="shared" si="51"/>
        <v>7.434166667</v>
      </c>
      <c r="T81" s="102"/>
      <c r="U81" s="136">
        <v>0.05</v>
      </c>
      <c r="V81" s="140">
        <f t="shared" si="52"/>
        <v>1.94</v>
      </c>
      <c r="W81" s="102"/>
      <c r="X81" s="136">
        <v>0.05</v>
      </c>
      <c r="Y81" s="140">
        <f t="shared" si="53"/>
        <v>0.3233333333</v>
      </c>
      <c r="Z81" s="102"/>
      <c r="AA81" s="136">
        <v>0.1</v>
      </c>
      <c r="AB81" s="141">
        <f t="shared" si="54"/>
        <v>0.005</v>
      </c>
      <c r="AC81" s="102"/>
      <c r="AD81" s="102"/>
      <c r="AE81" s="134"/>
      <c r="AF81" s="134"/>
      <c r="AG81" s="134"/>
      <c r="AH81" s="134"/>
      <c r="AI81" s="134"/>
      <c r="AJ81" s="134"/>
      <c r="AK81" s="134"/>
    </row>
    <row r="82">
      <c r="A82" s="101" t="s">
        <v>1633</v>
      </c>
      <c r="B82" s="101"/>
      <c r="C82" s="101">
        <v>280.0</v>
      </c>
      <c r="D82" s="101">
        <v>0.0</v>
      </c>
      <c r="E82" s="101">
        <v>12.0</v>
      </c>
      <c r="F82" s="101">
        <v>12.0</v>
      </c>
      <c r="G82" s="102">
        <f t="shared" si="46"/>
        <v>3360</v>
      </c>
      <c r="H82" s="102">
        <f t="shared" si="47"/>
        <v>3360</v>
      </c>
      <c r="I82" s="101">
        <v>5.0</v>
      </c>
      <c r="J82" s="102">
        <f t="shared" si="56"/>
        <v>56</v>
      </c>
      <c r="K82" s="136">
        <f>IFERROR(__xludf.DUMMYFUNCTION("TO_PERCENT(C82/I82-J82)"),0.0)</f>
        <v>0</v>
      </c>
      <c r="L82" s="101">
        <v>15.0</v>
      </c>
      <c r="M82" s="102">
        <f t="shared" si="57"/>
        <v>18</v>
      </c>
      <c r="N82" s="136">
        <f>IFERROR(__xludf.DUMMYFUNCTION("TO_PERCENT(C82/L82-M82)"),0.6666666666666679)</f>
        <v>0.6666666667</v>
      </c>
      <c r="O82" s="101">
        <v>400.0</v>
      </c>
      <c r="P82" s="101">
        <v>0.0</v>
      </c>
      <c r="Q82" s="136">
        <v>0.2</v>
      </c>
      <c r="R82" s="102"/>
      <c r="S82" s="140"/>
      <c r="T82" s="101">
        <v>51.0</v>
      </c>
      <c r="U82" s="102"/>
      <c r="V82" s="140"/>
      <c r="W82" s="101">
        <v>14.0</v>
      </c>
      <c r="X82" s="102"/>
      <c r="Y82" s="140"/>
      <c r="Z82" s="101">
        <v>5.0</v>
      </c>
      <c r="AA82" s="102"/>
      <c r="AB82" s="141"/>
      <c r="AC82" s="102"/>
      <c r="AD82" s="102"/>
      <c r="AE82" s="134"/>
      <c r="AF82" s="134"/>
      <c r="AG82" s="134"/>
      <c r="AH82" s="134"/>
      <c r="AI82" s="134"/>
      <c r="AJ82" s="134"/>
      <c r="AK82" s="134"/>
    </row>
    <row r="83">
      <c r="A83" s="101" t="s">
        <v>1634</v>
      </c>
      <c r="B83" s="101" t="s">
        <v>1622</v>
      </c>
      <c r="C83" s="101">
        <v>0.0</v>
      </c>
      <c r="D83" s="101">
        <v>0.0</v>
      </c>
      <c r="E83" s="101"/>
      <c r="F83" s="101"/>
      <c r="G83" s="101">
        <v>250.0</v>
      </c>
      <c r="H83" s="101">
        <v>500.0</v>
      </c>
      <c r="I83" s="101"/>
      <c r="J83" s="102"/>
      <c r="K83" s="136"/>
      <c r="L83" s="101"/>
      <c r="M83" s="102"/>
      <c r="N83" s="136"/>
      <c r="O83" s="101"/>
      <c r="P83" s="101"/>
      <c r="Q83" s="136"/>
      <c r="R83" s="102"/>
      <c r="S83" s="140"/>
      <c r="T83" s="101"/>
      <c r="U83" s="102"/>
      <c r="V83" s="140"/>
      <c r="W83" s="101"/>
      <c r="X83" s="102"/>
      <c r="Y83" s="140"/>
      <c r="Z83" s="101"/>
      <c r="AA83" s="102"/>
      <c r="AB83" s="141"/>
      <c r="AC83" s="102"/>
      <c r="AD83" s="102"/>
      <c r="AE83" s="134"/>
      <c r="AF83" s="134"/>
      <c r="AG83" s="134"/>
      <c r="AH83" s="134"/>
      <c r="AI83" s="134"/>
      <c r="AJ83" s="134"/>
      <c r="AK83" s="134"/>
    </row>
    <row r="84">
      <c r="A84" s="101" t="s">
        <v>1635</v>
      </c>
      <c r="B84" s="101" t="s">
        <v>1625</v>
      </c>
      <c r="C84" s="101">
        <v>0.0</v>
      </c>
      <c r="D84" s="101">
        <v>0.0</v>
      </c>
      <c r="E84" s="101"/>
      <c r="F84" s="101"/>
      <c r="G84" s="101">
        <v>500.0</v>
      </c>
      <c r="H84" s="101">
        <v>1250.0</v>
      </c>
      <c r="I84" s="101"/>
      <c r="J84" s="102"/>
      <c r="K84" s="136"/>
      <c r="L84" s="101"/>
      <c r="M84" s="102"/>
      <c r="N84" s="136"/>
      <c r="O84" s="101"/>
      <c r="P84" s="101"/>
      <c r="Q84" s="136"/>
      <c r="R84" s="102"/>
      <c r="S84" s="140"/>
      <c r="T84" s="101"/>
      <c r="U84" s="102"/>
      <c r="V84" s="140"/>
      <c r="W84" s="101"/>
      <c r="X84" s="102"/>
      <c r="Y84" s="140"/>
      <c r="Z84" s="101"/>
      <c r="AA84" s="102"/>
      <c r="AB84" s="141"/>
      <c r="AC84" s="102"/>
      <c r="AD84" s="102"/>
      <c r="AE84" s="134"/>
      <c r="AF84" s="134"/>
      <c r="AG84" s="134"/>
      <c r="AH84" s="134"/>
      <c r="AI84" s="134"/>
      <c r="AJ84" s="134"/>
      <c r="AK84" s="134"/>
    </row>
    <row r="85">
      <c r="A85" s="101" t="s">
        <v>1636</v>
      </c>
      <c r="B85" s="101" t="s">
        <v>1627</v>
      </c>
      <c r="C85" s="101">
        <v>0.0</v>
      </c>
      <c r="D85" s="101">
        <v>0.0</v>
      </c>
      <c r="E85" s="101"/>
      <c r="F85" s="101"/>
      <c r="G85" s="101">
        <v>1500.0</v>
      </c>
      <c r="H85" s="101">
        <v>3500.0</v>
      </c>
      <c r="I85" s="101"/>
      <c r="J85" s="102"/>
      <c r="K85" s="136"/>
      <c r="L85" s="101"/>
      <c r="M85" s="102"/>
      <c r="N85" s="136"/>
      <c r="O85" s="101"/>
      <c r="P85" s="101"/>
      <c r="Q85" s="136"/>
      <c r="R85" s="102"/>
      <c r="S85" s="140"/>
      <c r="T85" s="101"/>
      <c r="U85" s="102"/>
      <c r="V85" s="140"/>
      <c r="W85" s="101"/>
      <c r="X85" s="102"/>
      <c r="Y85" s="140"/>
      <c r="Z85" s="101"/>
      <c r="AA85" s="102"/>
      <c r="AB85" s="141"/>
      <c r="AC85" s="102"/>
      <c r="AD85" s="102"/>
      <c r="AE85" s="134"/>
      <c r="AF85" s="134"/>
      <c r="AG85" s="134"/>
      <c r="AH85" s="134"/>
      <c r="AI85" s="134"/>
      <c r="AJ85" s="134"/>
      <c r="AK85" s="134"/>
    </row>
    <row r="86">
      <c r="A86" s="135" t="s">
        <v>1641</v>
      </c>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5"/>
      <c r="AE86" s="134"/>
      <c r="AF86" s="134"/>
      <c r="AG86" s="134"/>
      <c r="AH86" s="134"/>
      <c r="AI86" s="134"/>
      <c r="AJ86" s="134"/>
      <c r="AK86" s="134"/>
    </row>
    <row r="87">
      <c r="A87" s="101" t="s">
        <v>1621</v>
      </c>
      <c r="B87" s="101" t="s">
        <v>1622</v>
      </c>
      <c r="C87" s="101">
        <f t="shared" ref="C87:C89" si="58">ROUND(C12*2.6,0)</f>
        <v>10</v>
      </c>
      <c r="D87" s="101">
        <v>0.0</v>
      </c>
      <c r="E87" s="101">
        <v>7.0</v>
      </c>
      <c r="F87" s="101">
        <v>8.0</v>
      </c>
      <c r="G87" s="102">
        <f t="shared" ref="G87:G97" si="59">E87*C87</f>
        <v>70</v>
      </c>
      <c r="H87" s="102">
        <f t="shared" ref="H87:H97" si="60">F87*C87</f>
        <v>80</v>
      </c>
      <c r="I87" s="101">
        <v>9.0</v>
      </c>
      <c r="J87" s="102">
        <f t="shared" ref="J87:J93" si="61">ROUNDDOWN(C87/I87,0)</f>
        <v>1</v>
      </c>
      <c r="K87" s="136">
        <f>IFERROR(__xludf.DUMMYFUNCTION("TO_PERCENT(C87/I87-J87)"),0.11111111111111116)</f>
        <v>0.1111111111</v>
      </c>
      <c r="L87" s="101">
        <v>500.0</v>
      </c>
      <c r="M87" s="102">
        <f t="shared" ref="M87:M93" si="62">ROUNDDOWN(C87/L87,0)</f>
        <v>0</v>
      </c>
      <c r="N87" s="136">
        <f>IFERROR(__xludf.DUMMYFUNCTION("TO_PERCENT(C87/L87-M87)"),0.02)</f>
        <v>0.02</v>
      </c>
      <c r="O87" s="101">
        <v>10000.0</v>
      </c>
      <c r="P87" s="102">
        <f t="shared" ref="P87:P93" si="63">ROUNDDOWN($C87*$AJ$11/$AG$11/O87,0)</f>
        <v>0</v>
      </c>
      <c r="Q87" s="136">
        <f>IFERROR(__xludf.DUMMYFUNCTION("TO_PERCENT($C87*$AJ$11/$AG$11/O87-P87)"),2.0E-4)</f>
        <v>0.0002</v>
      </c>
      <c r="R87" s="136">
        <v>0.05</v>
      </c>
      <c r="S87" s="140">
        <f t="shared" ref="S87:S96" si="64">R87*(C87-J87-K87-M87-N87-P87-Q87)</f>
        <v>0.4434344444</v>
      </c>
      <c r="T87" s="102"/>
      <c r="U87" s="136">
        <v>0.05</v>
      </c>
      <c r="V87" s="140">
        <f t="shared" ref="V87:V96" si="65">U87*(J87+K87)</f>
        <v>0.05555555556</v>
      </c>
      <c r="W87" s="102"/>
      <c r="X87" s="136">
        <v>0.05</v>
      </c>
      <c r="Y87" s="140">
        <f t="shared" ref="Y87:Y96" si="66">X87*(M87+N87)</f>
        <v>0.001</v>
      </c>
      <c r="Z87" s="102"/>
      <c r="AA87" s="136">
        <v>0.1</v>
      </c>
      <c r="AB87" s="141">
        <f t="shared" ref="AB87:AB96" si="67">AA87*(P87+Q87)</f>
        <v>0.00002</v>
      </c>
      <c r="AC87" s="102"/>
      <c r="AD87" s="102"/>
      <c r="AE87" s="134"/>
      <c r="AF87" s="134"/>
      <c r="AG87" s="134"/>
      <c r="AH87" s="134"/>
      <c r="AI87" s="134"/>
      <c r="AJ87" s="134"/>
      <c r="AK87" s="134"/>
    </row>
    <row r="88">
      <c r="A88" s="101" t="s">
        <v>1624</v>
      </c>
      <c r="B88" s="101" t="s">
        <v>1625</v>
      </c>
      <c r="C88" s="101">
        <f t="shared" si="58"/>
        <v>21</v>
      </c>
      <c r="D88" s="101">
        <v>0.0</v>
      </c>
      <c r="E88" s="101">
        <v>14.0</v>
      </c>
      <c r="F88" s="101">
        <v>16.0</v>
      </c>
      <c r="G88" s="102">
        <f t="shared" si="59"/>
        <v>294</v>
      </c>
      <c r="H88" s="102">
        <f t="shared" si="60"/>
        <v>336</v>
      </c>
      <c r="I88" s="101">
        <v>4.0</v>
      </c>
      <c r="J88" s="102">
        <f t="shared" si="61"/>
        <v>5</v>
      </c>
      <c r="K88" s="136">
        <f>IFERROR(__xludf.DUMMYFUNCTION("TO_PERCENT(C88/I88-J88)"),0.25)</f>
        <v>0.25</v>
      </c>
      <c r="L88" s="101">
        <v>200.0</v>
      </c>
      <c r="M88" s="102">
        <f t="shared" si="62"/>
        <v>0</v>
      </c>
      <c r="N88" s="136">
        <f>IFERROR(__xludf.DUMMYFUNCTION("TO_PERCENT(C88/L88-M88)"),0.105)</f>
        <v>0.105</v>
      </c>
      <c r="O88" s="101">
        <v>4000.0</v>
      </c>
      <c r="P88" s="102">
        <f t="shared" si="63"/>
        <v>0</v>
      </c>
      <c r="Q88" s="136">
        <f>IFERROR(__xludf.DUMMYFUNCTION("TO_PERCENT($C88*$AJ$11/$AG$11/O88-P88)"),0.0010500000000000002)</f>
        <v>0.00105</v>
      </c>
      <c r="R88" s="136">
        <v>0.05</v>
      </c>
      <c r="S88" s="140">
        <f t="shared" si="64"/>
        <v>0.7821975</v>
      </c>
      <c r="T88" s="102"/>
      <c r="U88" s="136">
        <v>0.05</v>
      </c>
      <c r="V88" s="140">
        <f t="shared" si="65"/>
        <v>0.2625</v>
      </c>
      <c r="W88" s="102"/>
      <c r="X88" s="136">
        <v>0.05</v>
      </c>
      <c r="Y88" s="140">
        <f t="shared" si="66"/>
        <v>0.00525</v>
      </c>
      <c r="Z88" s="102"/>
      <c r="AA88" s="136">
        <v>0.1</v>
      </c>
      <c r="AB88" s="141">
        <f t="shared" si="67"/>
        <v>0.000105</v>
      </c>
      <c r="AC88" s="102"/>
      <c r="AD88" s="102"/>
      <c r="AE88" s="134"/>
      <c r="AF88" s="134"/>
      <c r="AG88" s="134"/>
      <c r="AH88" s="134"/>
      <c r="AI88" s="134"/>
      <c r="AJ88" s="134"/>
      <c r="AK88" s="134"/>
    </row>
    <row r="89">
      <c r="A89" s="101" t="s">
        <v>1626</v>
      </c>
      <c r="B89" s="101" t="s">
        <v>1627</v>
      </c>
      <c r="C89" s="101">
        <f t="shared" si="58"/>
        <v>52</v>
      </c>
      <c r="D89" s="101">
        <v>0.0</v>
      </c>
      <c r="E89" s="101">
        <v>16.0</v>
      </c>
      <c r="F89" s="101">
        <v>16.0</v>
      </c>
      <c r="G89" s="102">
        <f t="shared" si="59"/>
        <v>832</v>
      </c>
      <c r="H89" s="102">
        <f t="shared" si="60"/>
        <v>832</v>
      </c>
      <c r="I89" s="101">
        <v>5.0</v>
      </c>
      <c r="J89" s="102">
        <f t="shared" si="61"/>
        <v>10</v>
      </c>
      <c r="K89" s="136">
        <f>IFERROR(__xludf.DUMMYFUNCTION("TO_PERCENT(C89/I89-J89)"),0.40000000000000036)</f>
        <v>0.4</v>
      </c>
      <c r="L89" s="101">
        <v>10.0</v>
      </c>
      <c r="M89" s="102">
        <f t="shared" si="62"/>
        <v>5</v>
      </c>
      <c r="N89" s="136">
        <f>IFERROR(__xludf.DUMMYFUNCTION("TO_PERCENT(C89/L89-M89)"),0.20000000000000018)</f>
        <v>0.2</v>
      </c>
      <c r="O89" s="101">
        <v>300.0</v>
      </c>
      <c r="P89" s="102">
        <f t="shared" si="63"/>
        <v>0</v>
      </c>
      <c r="Q89" s="136">
        <f>IFERROR(__xludf.DUMMYFUNCTION("TO_PERCENT($C89*$AJ$11/$AG$11/O89-P89)"),0.034666666666666665)</f>
        <v>0.03466666667</v>
      </c>
      <c r="R89" s="136">
        <v>0.05</v>
      </c>
      <c r="S89" s="140">
        <f t="shared" si="64"/>
        <v>1.818266667</v>
      </c>
      <c r="T89" s="102"/>
      <c r="U89" s="136">
        <v>0.05</v>
      </c>
      <c r="V89" s="140">
        <f t="shared" si="65"/>
        <v>0.52</v>
      </c>
      <c r="W89" s="102"/>
      <c r="X89" s="136">
        <v>0.05</v>
      </c>
      <c r="Y89" s="140">
        <f t="shared" si="66"/>
        <v>0.26</v>
      </c>
      <c r="Z89" s="102"/>
      <c r="AA89" s="136">
        <v>0.1</v>
      </c>
      <c r="AB89" s="141">
        <f t="shared" si="67"/>
        <v>0.003466666667</v>
      </c>
      <c r="AC89" s="102"/>
      <c r="AD89" s="102"/>
      <c r="AE89" s="134"/>
      <c r="AF89" s="134"/>
      <c r="AG89" s="134"/>
      <c r="AH89" s="134"/>
      <c r="AI89" s="134"/>
      <c r="AJ89" s="134"/>
      <c r="AK89" s="134"/>
    </row>
    <row r="90">
      <c r="A90" s="101" t="s">
        <v>1628</v>
      </c>
      <c r="B90" s="102"/>
      <c r="C90" s="101">
        <v>8.0</v>
      </c>
      <c r="D90" s="101">
        <v>0.0</v>
      </c>
      <c r="E90" s="101">
        <v>7.0</v>
      </c>
      <c r="F90" s="101">
        <v>8.0</v>
      </c>
      <c r="G90" s="102">
        <f t="shared" si="59"/>
        <v>56</v>
      </c>
      <c r="H90" s="102">
        <f t="shared" si="60"/>
        <v>64</v>
      </c>
      <c r="I90" s="101">
        <v>10.0</v>
      </c>
      <c r="J90" s="102">
        <f t="shared" si="61"/>
        <v>0</v>
      </c>
      <c r="K90" s="136">
        <f>IFERROR(__xludf.DUMMYFUNCTION("TO_PERCENT(C90/I90-J90)"),0.8)</f>
        <v>0.8</v>
      </c>
      <c r="L90" s="101">
        <v>200.0</v>
      </c>
      <c r="M90" s="102">
        <f t="shared" si="62"/>
        <v>0</v>
      </c>
      <c r="N90" s="136">
        <f>IFERROR(__xludf.DUMMYFUNCTION("TO_PERCENT(C90/L90-M90)"),0.04)</f>
        <v>0.04</v>
      </c>
      <c r="O90" s="101">
        <v>4000.0</v>
      </c>
      <c r="P90" s="102">
        <f t="shared" si="63"/>
        <v>0</v>
      </c>
      <c r="Q90" s="136">
        <f>IFERROR(__xludf.DUMMYFUNCTION("TO_PERCENT($C90*$AJ$11/$AG$11/O90-P90)"),4.0E-4)</f>
        <v>0.0004</v>
      </c>
      <c r="R90" s="136">
        <v>0.05</v>
      </c>
      <c r="S90" s="140">
        <f t="shared" si="64"/>
        <v>0.35798</v>
      </c>
      <c r="T90" s="102"/>
      <c r="U90" s="136">
        <v>0.05</v>
      </c>
      <c r="V90" s="140">
        <f t="shared" si="65"/>
        <v>0.04</v>
      </c>
      <c r="W90" s="102"/>
      <c r="X90" s="136">
        <v>0.05</v>
      </c>
      <c r="Y90" s="140">
        <f t="shared" si="66"/>
        <v>0.002</v>
      </c>
      <c r="Z90" s="102"/>
      <c r="AA90" s="136">
        <v>0.1</v>
      </c>
      <c r="AB90" s="141">
        <f t="shared" si="67"/>
        <v>0.00004</v>
      </c>
      <c r="AC90" s="102"/>
      <c r="AD90" s="102"/>
      <c r="AE90" s="134"/>
      <c r="AF90" s="134"/>
      <c r="AG90" s="134"/>
      <c r="AH90" s="134"/>
      <c r="AI90" s="134"/>
      <c r="AJ90" s="134"/>
      <c r="AK90" s="134"/>
    </row>
    <row r="91">
      <c r="A91" s="101" t="s">
        <v>1629</v>
      </c>
      <c r="B91" s="102"/>
      <c r="C91" s="101">
        <f t="shared" ref="C91:C93" si="68">ROUND(C16*2.6,0)</f>
        <v>42</v>
      </c>
      <c r="D91" s="101">
        <v>0.0</v>
      </c>
      <c r="E91" s="101">
        <v>14.0</v>
      </c>
      <c r="F91" s="101">
        <v>16.0</v>
      </c>
      <c r="G91" s="102">
        <f t="shared" si="59"/>
        <v>588</v>
      </c>
      <c r="H91" s="102">
        <f t="shared" si="60"/>
        <v>672</v>
      </c>
      <c r="I91" s="101">
        <v>6.0</v>
      </c>
      <c r="J91" s="102">
        <f t="shared" si="61"/>
        <v>7</v>
      </c>
      <c r="K91" s="136">
        <f>IFERROR(__xludf.DUMMYFUNCTION("TO_PERCENT(C91/I91-J91)"),0.0)</f>
        <v>0</v>
      </c>
      <c r="L91" s="101">
        <v>120.0</v>
      </c>
      <c r="M91" s="102">
        <f t="shared" si="62"/>
        <v>0</v>
      </c>
      <c r="N91" s="136">
        <f>IFERROR(__xludf.DUMMYFUNCTION("TO_PERCENT(C91/L91-M91)"),0.35)</f>
        <v>0.35</v>
      </c>
      <c r="O91" s="101">
        <v>2400.0</v>
      </c>
      <c r="P91" s="102">
        <f t="shared" si="63"/>
        <v>0</v>
      </c>
      <c r="Q91" s="136">
        <f>IFERROR(__xludf.DUMMYFUNCTION("TO_PERCENT($C91*$AJ$11/$AG$11/O91-P91)"),0.0035)</f>
        <v>0.0035</v>
      </c>
      <c r="R91" s="136">
        <v>0.05</v>
      </c>
      <c r="S91" s="140">
        <f t="shared" si="64"/>
        <v>1.732325</v>
      </c>
      <c r="T91" s="102"/>
      <c r="U91" s="136">
        <v>0.05</v>
      </c>
      <c r="V91" s="140">
        <f t="shared" si="65"/>
        <v>0.35</v>
      </c>
      <c r="W91" s="102"/>
      <c r="X91" s="136">
        <v>0.05</v>
      </c>
      <c r="Y91" s="140">
        <f t="shared" si="66"/>
        <v>0.0175</v>
      </c>
      <c r="Z91" s="102"/>
      <c r="AA91" s="136">
        <v>0.1</v>
      </c>
      <c r="AB91" s="141">
        <f t="shared" si="67"/>
        <v>0.00035</v>
      </c>
      <c r="AC91" s="102"/>
      <c r="AD91" s="102"/>
      <c r="AE91" s="134"/>
      <c r="AF91" s="134"/>
      <c r="AG91" s="134"/>
      <c r="AH91" s="134"/>
      <c r="AI91" s="134"/>
      <c r="AJ91" s="134"/>
      <c r="AK91" s="134"/>
    </row>
    <row r="92">
      <c r="A92" s="101" t="s">
        <v>107</v>
      </c>
      <c r="B92" s="101" t="s">
        <v>1627</v>
      </c>
      <c r="C92" s="101">
        <f t="shared" si="68"/>
        <v>182</v>
      </c>
      <c r="D92" s="101">
        <v>0.0</v>
      </c>
      <c r="E92" s="101">
        <v>9.0</v>
      </c>
      <c r="F92" s="101">
        <v>9.0</v>
      </c>
      <c r="G92" s="102">
        <f t="shared" si="59"/>
        <v>1638</v>
      </c>
      <c r="H92" s="102">
        <f t="shared" si="60"/>
        <v>1638</v>
      </c>
      <c r="I92" s="101">
        <v>5.0</v>
      </c>
      <c r="J92" s="102">
        <f t="shared" si="61"/>
        <v>36</v>
      </c>
      <c r="K92" s="136">
        <f>IFERROR(__xludf.DUMMYFUNCTION("TO_PERCENT(C92/I92-J92)"),0.3999999999999986)</f>
        <v>0.4</v>
      </c>
      <c r="L92" s="101">
        <v>500.0</v>
      </c>
      <c r="M92" s="102">
        <f t="shared" si="62"/>
        <v>0</v>
      </c>
      <c r="N92" s="136">
        <f>IFERROR(__xludf.DUMMYFUNCTION("TO_PERCENT(C92/L92-M92)"),0.364)</f>
        <v>0.364</v>
      </c>
      <c r="O92" s="101">
        <v>10000.0</v>
      </c>
      <c r="P92" s="102">
        <f t="shared" si="63"/>
        <v>0</v>
      </c>
      <c r="Q92" s="136">
        <f>IFERROR(__xludf.DUMMYFUNCTION("TO_PERCENT($C92*$AJ$11/$AG$11/O92-P92)"),0.00364)</f>
        <v>0.00364</v>
      </c>
      <c r="R92" s="136">
        <v>0.05</v>
      </c>
      <c r="S92" s="140">
        <f t="shared" si="64"/>
        <v>7.261618</v>
      </c>
      <c r="T92" s="102"/>
      <c r="U92" s="136">
        <v>0.05</v>
      </c>
      <c r="V92" s="140">
        <f t="shared" si="65"/>
        <v>1.82</v>
      </c>
      <c r="W92" s="102"/>
      <c r="X92" s="136">
        <v>0.05</v>
      </c>
      <c r="Y92" s="140">
        <f t="shared" si="66"/>
        <v>0.0182</v>
      </c>
      <c r="Z92" s="102"/>
      <c r="AA92" s="136">
        <v>0.1</v>
      </c>
      <c r="AB92" s="141">
        <f t="shared" si="67"/>
        <v>0.000364</v>
      </c>
      <c r="AC92" s="102"/>
      <c r="AD92" s="102"/>
      <c r="AE92" s="134"/>
      <c r="AF92" s="134"/>
      <c r="AG92" s="134"/>
      <c r="AH92" s="134"/>
      <c r="AI92" s="134"/>
      <c r="AJ92" s="134"/>
      <c r="AK92" s="134"/>
    </row>
    <row r="93">
      <c r="A93" s="101" t="s">
        <v>1630</v>
      </c>
      <c r="B93" s="101" t="s">
        <v>1631</v>
      </c>
      <c r="C93" s="101">
        <f t="shared" si="68"/>
        <v>468</v>
      </c>
      <c r="D93" s="101">
        <v>5.0</v>
      </c>
      <c r="E93" s="101">
        <v>9.0</v>
      </c>
      <c r="F93" s="101">
        <v>9.0</v>
      </c>
      <c r="G93" s="102">
        <f t="shared" si="59"/>
        <v>4212</v>
      </c>
      <c r="H93" s="102">
        <f t="shared" si="60"/>
        <v>4212</v>
      </c>
      <c r="I93" s="101">
        <v>5.0</v>
      </c>
      <c r="J93" s="102">
        <f t="shared" si="61"/>
        <v>93</v>
      </c>
      <c r="K93" s="136">
        <f>IFERROR(__xludf.DUMMYFUNCTION("TO_PERCENT(C93/I93-J93)"),0.5999999999999943)</f>
        <v>0.6</v>
      </c>
      <c r="L93" s="101">
        <v>30.0</v>
      </c>
      <c r="M93" s="102">
        <f t="shared" si="62"/>
        <v>15</v>
      </c>
      <c r="N93" s="136">
        <f>IFERROR(__xludf.DUMMYFUNCTION("TO_PERCENT(C93/L93-M93)"),0.5999999999999996)</f>
        <v>0.6</v>
      </c>
      <c r="O93" s="101">
        <v>600.0</v>
      </c>
      <c r="P93" s="102">
        <f t="shared" si="63"/>
        <v>0</v>
      </c>
      <c r="Q93" s="136">
        <f>IFERROR(__xludf.DUMMYFUNCTION("TO_PERCENT($C93*$AJ$11/$AG$11/O93-P93)"),0.156)</f>
        <v>0.156</v>
      </c>
      <c r="R93" s="136">
        <v>0.05</v>
      </c>
      <c r="S93" s="140">
        <f t="shared" si="64"/>
        <v>17.9322</v>
      </c>
      <c r="T93" s="102"/>
      <c r="U93" s="136">
        <v>0.05</v>
      </c>
      <c r="V93" s="140">
        <f t="shared" si="65"/>
        <v>4.68</v>
      </c>
      <c r="W93" s="102"/>
      <c r="X93" s="136">
        <v>0.05</v>
      </c>
      <c r="Y93" s="140">
        <f t="shared" si="66"/>
        <v>0.78</v>
      </c>
      <c r="Z93" s="102"/>
      <c r="AA93" s="136">
        <v>0.1</v>
      </c>
      <c r="AB93" s="141">
        <f t="shared" si="67"/>
        <v>0.0156</v>
      </c>
      <c r="AC93" s="102"/>
      <c r="AD93" s="102"/>
      <c r="AE93" s="134"/>
      <c r="AF93" s="134"/>
      <c r="AG93" s="134"/>
      <c r="AH93" s="134"/>
      <c r="AI93" s="134"/>
      <c r="AJ93" s="134"/>
      <c r="AK93" s="134"/>
    </row>
    <row r="94">
      <c r="A94" s="101" t="s">
        <v>131</v>
      </c>
      <c r="B94" s="101" t="s">
        <v>1627</v>
      </c>
      <c r="C94" s="101">
        <v>15.0</v>
      </c>
      <c r="D94" s="101">
        <v>0.0</v>
      </c>
      <c r="E94" s="101">
        <v>0.0</v>
      </c>
      <c r="F94" s="101">
        <v>0.0</v>
      </c>
      <c r="G94" s="102">
        <f t="shared" si="59"/>
        <v>0</v>
      </c>
      <c r="H94" s="102">
        <f t="shared" si="60"/>
        <v>0</v>
      </c>
      <c r="I94" s="104">
        <v>0.0</v>
      </c>
      <c r="J94" s="101">
        <v>0.0</v>
      </c>
      <c r="K94" s="136">
        <v>0.0</v>
      </c>
      <c r="L94" s="101">
        <v>1.0</v>
      </c>
      <c r="M94" s="101">
        <v>15.0</v>
      </c>
      <c r="N94" s="136">
        <v>0.0</v>
      </c>
      <c r="O94" s="104">
        <v>0.0</v>
      </c>
      <c r="P94" s="101">
        <v>0.0</v>
      </c>
      <c r="Q94" s="136">
        <v>0.0</v>
      </c>
      <c r="R94" s="136">
        <v>0.05</v>
      </c>
      <c r="S94" s="140">
        <f t="shared" si="64"/>
        <v>0</v>
      </c>
      <c r="T94" s="102"/>
      <c r="U94" s="136">
        <v>0.05</v>
      </c>
      <c r="V94" s="140">
        <f t="shared" si="65"/>
        <v>0</v>
      </c>
      <c r="W94" s="102"/>
      <c r="X94" s="136">
        <v>0.05</v>
      </c>
      <c r="Y94" s="140">
        <f t="shared" si="66"/>
        <v>0.75</v>
      </c>
      <c r="Z94" s="102"/>
      <c r="AA94" s="136">
        <v>0.1</v>
      </c>
      <c r="AB94" s="141">
        <f t="shared" si="67"/>
        <v>0</v>
      </c>
      <c r="AC94" s="102"/>
      <c r="AD94" s="102"/>
      <c r="AE94" s="134"/>
      <c r="AF94" s="134"/>
      <c r="AG94" s="134"/>
      <c r="AH94" s="134"/>
      <c r="AI94" s="134"/>
      <c r="AJ94" s="134"/>
      <c r="AK94" s="134"/>
    </row>
    <row r="95">
      <c r="A95" s="101" t="s">
        <v>223</v>
      </c>
      <c r="B95" s="101"/>
      <c r="C95" s="101">
        <v>101.0</v>
      </c>
      <c r="D95" s="101">
        <v>4.0</v>
      </c>
      <c r="E95" s="101">
        <v>5.0</v>
      </c>
      <c r="F95" s="101">
        <v>5.0</v>
      </c>
      <c r="G95" s="102">
        <f t="shared" si="59"/>
        <v>505</v>
      </c>
      <c r="H95" s="102">
        <f t="shared" si="60"/>
        <v>505</v>
      </c>
      <c r="I95" s="101">
        <v>6.0</v>
      </c>
      <c r="J95" s="102">
        <f t="shared" ref="J95:J97" si="69">ROUNDDOWN(C95/I95,0)</f>
        <v>16</v>
      </c>
      <c r="K95" s="136">
        <f>IFERROR(__xludf.DUMMYFUNCTION("TO_PERCENT(C95/I95-J95)"),0.8333333333333321)</f>
        <v>0.8333333333</v>
      </c>
      <c r="L95" s="101">
        <v>50.0</v>
      </c>
      <c r="M95" s="102">
        <f t="shared" ref="M95:M97" si="70">ROUNDDOWN(C95/L95,0)</f>
        <v>2</v>
      </c>
      <c r="N95" s="136">
        <f>IFERROR(__xludf.DUMMYFUNCTION("TO_PERCENT(C95/L95-M95)"),0.020000000000000018)</f>
        <v>0.02</v>
      </c>
      <c r="O95" s="101">
        <v>8000.0</v>
      </c>
      <c r="P95" s="102">
        <f>ROUNDDOWN($C95*$AJ$11/$AG$11/O95,0)</f>
        <v>0</v>
      </c>
      <c r="Q95" s="136">
        <f>IFERROR(__xludf.DUMMYFUNCTION("TO_PERCENT($C95*$AJ$11/$AG$11/O95-P95)"),0.002525)</f>
        <v>0.002525</v>
      </c>
      <c r="R95" s="136">
        <v>0.05</v>
      </c>
      <c r="S95" s="140">
        <f t="shared" si="64"/>
        <v>4.107207083</v>
      </c>
      <c r="T95" s="102"/>
      <c r="U95" s="136">
        <v>0.05</v>
      </c>
      <c r="V95" s="140">
        <f t="shared" si="65"/>
        <v>0.8416666667</v>
      </c>
      <c r="W95" s="102"/>
      <c r="X95" s="136">
        <v>0.05</v>
      </c>
      <c r="Y95" s="140">
        <f t="shared" si="66"/>
        <v>0.101</v>
      </c>
      <c r="Z95" s="102"/>
      <c r="AA95" s="136">
        <v>0.1</v>
      </c>
      <c r="AB95" s="141">
        <f t="shared" si="67"/>
        <v>0.0002525</v>
      </c>
      <c r="AC95" s="102"/>
      <c r="AD95" s="102"/>
      <c r="AE95" s="134"/>
      <c r="AF95" s="134"/>
      <c r="AG95" s="134"/>
      <c r="AH95" s="134"/>
      <c r="AI95" s="134"/>
      <c r="AJ95" s="134"/>
      <c r="AK95" s="134"/>
    </row>
    <row r="96">
      <c r="A96" s="101" t="s">
        <v>1632</v>
      </c>
      <c r="B96" s="101"/>
      <c r="C96" s="101">
        <v>202.0</v>
      </c>
      <c r="D96" s="101">
        <v>0.0</v>
      </c>
      <c r="E96" s="101">
        <v>7.0</v>
      </c>
      <c r="F96" s="101">
        <v>7.0</v>
      </c>
      <c r="G96" s="102">
        <f t="shared" si="59"/>
        <v>1414</v>
      </c>
      <c r="H96" s="102">
        <f t="shared" si="60"/>
        <v>1414</v>
      </c>
      <c r="I96" s="101">
        <v>5.0</v>
      </c>
      <c r="J96" s="102">
        <f t="shared" si="69"/>
        <v>40</v>
      </c>
      <c r="K96" s="136">
        <f>IFERROR(__xludf.DUMMYFUNCTION("TO_PERCENT(C96/I96-J96)"),0.3999999999999986)</f>
        <v>0.4</v>
      </c>
      <c r="L96" s="101">
        <v>30.0</v>
      </c>
      <c r="M96" s="102">
        <f t="shared" si="70"/>
        <v>6</v>
      </c>
      <c r="N96" s="136">
        <f>IFERROR(__xludf.DUMMYFUNCTION("TO_PERCENT(C96/L96-M96)"),0.7333333333333334)</f>
        <v>0.7333333333</v>
      </c>
      <c r="O96" s="101">
        <v>1600.0</v>
      </c>
      <c r="P96" s="101">
        <v>0.0</v>
      </c>
      <c r="Q96" s="136">
        <v>0.05</v>
      </c>
      <c r="R96" s="136">
        <v>0.05</v>
      </c>
      <c r="S96" s="140">
        <f t="shared" si="64"/>
        <v>7.740833333</v>
      </c>
      <c r="T96" s="102"/>
      <c r="U96" s="136">
        <v>0.05</v>
      </c>
      <c r="V96" s="140">
        <f t="shared" si="65"/>
        <v>2.02</v>
      </c>
      <c r="W96" s="102"/>
      <c r="X96" s="136">
        <v>0.05</v>
      </c>
      <c r="Y96" s="140">
        <f t="shared" si="66"/>
        <v>0.3366666667</v>
      </c>
      <c r="Z96" s="102"/>
      <c r="AA96" s="136">
        <v>0.1</v>
      </c>
      <c r="AB96" s="141">
        <f t="shared" si="67"/>
        <v>0.005</v>
      </c>
      <c r="AC96" s="102"/>
      <c r="AD96" s="102"/>
      <c r="AE96" s="134"/>
      <c r="AF96" s="134"/>
      <c r="AG96" s="134"/>
      <c r="AH96" s="134"/>
      <c r="AI96" s="134"/>
      <c r="AJ96" s="134"/>
      <c r="AK96" s="134"/>
    </row>
    <row r="97">
      <c r="A97" s="101" t="s">
        <v>1633</v>
      </c>
      <c r="B97" s="101"/>
      <c r="C97" s="101">
        <v>290.0</v>
      </c>
      <c r="D97" s="101">
        <v>0.0</v>
      </c>
      <c r="E97" s="101">
        <v>12.0</v>
      </c>
      <c r="F97" s="101">
        <v>12.0</v>
      </c>
      <c r="G97" s="102">
        <f t="shared" si="59"/>
        <v>3480</v>
      </c>
      <c r="H97" s="102">
        <f t="shared" si="60"/>
        <v>3480</v>
      </c>
      <c r="I97" s="101">
        <v>5.0</v>
      </c>
      <c r="J97" s="102">
        <f t="shared" si="69"/>
        <v>58</v>
      </c>
      <c r="K97" s="136">
        <f>IFERROR(__xludf.DUMMYFUNCTION("TO_PERCENT(C97/I97-J97)"),0.0)</f>
        <v>0</v>
      </c>
      <c r="L97" s="101">
        <v>15.0</v>
      </c>
      <c r="M97" s="102">
        <f t="shared" si="70"/>
        <v>19</v>
      </c>
      <c r="N97" s="136">
        <f>IFERROR(__xludf.DUMMYFUNCTION("TO_PERCENT(C97/L97-M97)"),0.33333333333333215)</f>
        <v>0.3333333333</v>
      </c>
      <c r="O97" s="101">
        <v>400.0</v>
      </c>
      <c r="P97" s="101">
        <v>0.0</v>
      </c>
      <c r="Q97" s="136">
        <v>0.333333333333333</v>
      </c>
      <c r="R97" s="102"/>
      <c r="S97" s="140"/>
      <c r="T97" s="101">
        <v>53.0</v>
      </c>
      <c r="U97" s="102"/>
      <c r="V97" s="140"/>
      <c r="W97" s="101">
        <v>15.0</v>
      </c>
      <c r="X97" s="102"/>
      <c r="Y97" s="140"/>
      <c r="Z97" s="101">
        <v>5.0</v>
      </c>
      <c r="AA97" s="102"/>
      <c r="AB97" s="141"/>
      <c r="AC97" s="102"/>
      <c r="AD97" s="102"/>
      <c r="AE97" s="134"/>
      <c r="AF97" s="134"/>
      <c r="AG97" s="134"/>
      <c r="AH97" s="134"/>
      <c r="AI97" s="134"/>
      <c r="AJ97" s="134"/>
      <c r="AK97" s="134"/>
    </row>
    <row r="98">
      <c r="A98" s="101" t="s">
        <v>1634</v>
      </c>
      <c r="B98" s="101" t="s">
        <v>1622</v>
      </c>
      <c r="C98" s="101">
        <v>0.0</v>
      </c>
      <c r="D98" s="101">
        <v>0.0</v>
      </c>
      <c r="E98" s="101"/>
      <c r="F98" s="101"/>
      <c r="G98" s="101">
        <v>250.0</v>
      </c>
      <c r="H98" s="101">
        <v>500.0</v>
      </c>
      <c r="I98" s="101"/>
      <c r="J98" s="102"/>
      <c r="K98" s="136"/>
      <c r="L98" s="101"/>
      <c r="M98" s="102"/>
      <c r="N98" s="136"/>
      <c r="O98" s="101"/>
      <c r="P98" s="101"/>
      <c r="Q98" s="136"/>
      <c r="R98" s="102"/>
      <c r="S98" s="140"/>
      <c r="T98" s="101"/>
      <c r="U98" s="102"/>
      <c r="V98" s="140"/>
      <c r="W98" s="101"/>
      <c r="X98" s="102"/>
      <c r="Y98" s="140"/>
      <c r="Z98" s="101"/>
      <c r="AA98" s="102"/>
      <c r="AB98" s="141"/>
      <c r="AC98" s="102"/>
      <c r="AD98" s="102"/>
      <c r="AE98" s="134"/>
      <c r="AF98" s="134"/>
      <c r="AG98" s="134"/>
      <c r="AH98" s="134"/>
      <c r="AI98" s="134"/>
      <c r="AJ98" s="134"/>
      <c r="AK98" s="134"/>
    </row>
    <row r="99">
      <c r="A99" s="101" t="s">
        <v>1635</v>
      </c>
      <c r="B99" s="101" t="s">
        <v>1625</v>
      </c>
      <c r="C99" s="101">
        <v>0.0</v>
      </c>
      <c r="D99" s="101">
        <v>0.0</v>
      </c>
      <c r="E99" s="101"/>
      <c r="F99" s="101"/>
      <c r="G99" s="101">
        <v>500.0</v>
      </c>
      <c r="H99" s="101">
        <v>1250.0</v>
      </c>
      <c r="I99" s="101"/>
      <c r="J99" s="102"/>
      <c r="K99" s="136"/>
      <c r="L99" s="101"/>
      <c r="M99" s="102"/>
      <c r="N99" s="136"/>
      <c r="O99" s="101"/>
      <c r="P99" s="101"/>
      <c r="Q99" s="136"/>
      <c r="R99" s="102"/>
      <c r="S99" s="140"/>
      <c r="T99" s="101"/>
      <c r="U99" s="102"/>
      <c r="V99" s="140"/>
      <c r="W99" s="101"/>
      <c r="X99" s="102"/>
      <c r="Y99" s="140"/>
      <c r="Z99" s="101"/>
      <c r="AA99" s="102"/>
      <c r="AB99" s="141"/>
      <c r="AC99" s="102"/>
      <c r="AD99" s="102"/>
      <c r="AE99" s="134"/>
      <c r="AF99" s="134"/>
      <c r="AG99" s="134"/>
      <c r="AH99" s="134"/>
      <c r="AI99" s="134"/>
      <c r="AJ99" s="134"/>
      <c r="AK99" s="134"/>
    </row>
    <row r="100">
      <c r="A100" s="101" t="s">
        <v>1636</v>
      </c>
      <c r="B100" s="101" t="s">
        <v>1627</v>
      </c>
      <c r="C100" s="101">
        <v>0.0</v>
      </c>
      <c r="D100" s="101">
        <v>0.0</v>
      </c>
      <c r="E100" s="101"/>
      <c r="F100" s="101"/>
      <c r="G100" s="101">
        <v>1500.0</v>
      </c>
      <c r="H100" s="101">
        <v>3500.0</v>
      </c>
      <c r="I100" s="101"/>
      <c r="J100" s="102"/>
      <c r="K100" s="136"/>
      <c r="L100" s="101"/>
      <c r="M100" s="102"/>
      <c r="N100" s="136"/>
      <c r="O100" s="101"/>
      <c r="P100" s="101"/>
      <c r="Q100" s="136"/>
      <c r="R100" s="102"/>
      <c r="S100" s="140"/>
      <c r="T100" s="101"/>
      <c r="U100" s="102"/>
      <c r="V100" s="140"/>
      <c r="W100" s="101"/>
      <c r="X100" s="102"/>
      <c r="Y100" s="140"/>
      <c r="Z100" s="101"/>
      <c r="AA100" s="102"/>
      <c r="AB100" s="141"/>
      <c r="AC100" s="102"/>
      <c r="AD100" s="102"/>
      <c r="AE100" s="134"/>
      <c r="AF100" s="134"/>
      <c r="AG100" s="134"/>
      <c r="AH100" s="134"/>
      <c r="AI100" s="134"/>
      <c r="AJ100" s="134"/>
      <c r="AK100" s="134"/>
    </row>
    <row r="101">
      <c r="A101" s="135" t="s">
        <v>1642</v>
      </c>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5"/>
      <c r="AE101" s="134"/>
      <c r="AF101" s="134"/>
      <c r="AG101" s="134"/>
      <c r="AH101" s="134"/>
      <c r="AI101" s="134"/>
      <c r="AJ101" s="134"/>
      <c r="AK101" s="134"/>
    </row>
    <row r="102">
      <c r="A102" s="101" t="s">
        <v>1621</v>
      </c>
      <c r="B102" s="101" t="s">
        <v>1622</v>
      </c>
      <c r="C102" s="101">
        <f t="shared" ref="C102:C104" si="71">ROUND(C12*2.9,0)</f>
        <v>12</v>
      </c>
      <c r="D102" s="101">
        <v>0.0</v>
      </c>
      <c r="E102" s="101">
        <v>7.0</v>
      </c>
      <c r="F102" s="101">
        <v>8.0</v>
      </c>
      <c r="G102" s="102">
        <f t="shared" ref="G102:G112" si="72">E102*C102</f>
        <v>84</v>
      </c>
      <c r="H102" s="102">
        <f t="shared" ref="H102:H112" si="73">F102*C102</f>
        <v>96</v>
      </c>
      <c r="I102" s="101">
        <v>9.0</v>
      </c>
      <c r="J102" s="102">
        <f t="shared" ref="J102:J108" si="74">ROUNDDOWN(C102/I102,0)</f>
        <v>1</v>
      </c>
      <c r="K102" s="136">
        <f>IFERROR(__xludf.DUMMYFUNCTION("TO_PERCENT(C102/I102-J102)"),0.33333333333333326)</f>
        <v>0.3333333333</v>
      </c>
      <c r="L102" s="101">
        <v>500.0</v>
      </c>
      <c r="M102" s="102">
        <f t="shared" ref="M102:M108" si="75">ROUNDDOWN(C102/L102,0)</f>
        <v>0</v>
      </c>
      <c r="N102" s="136">
        <f>IFERROR(__xludf.DUMMYFUNCTION("TO_PERCENT(C102/L102-M102)"),0.024)</f>
        <v>0.024</v>
      </c>
      <c r="O102" s="101">
        <v>10000.0</v>
      </c>
      <c r="P102" s="102">
        <f t="shared" ref="P102:P108" si="76">ROUNDDOWN($C102*$AJ$12/$AG$12/O102,0)</f>
        <v>0</v>
      </c>
      <c r="Q102" s="136">
        <f>IFERROR(__xludf.DUMMYFUNCTION("TO_PERCENT($C102*$AJ$12/$AG$12/O102-P102)"),2.823529411764706E-4)</f>
        <v>0.0002823529412</v>
      </c>
      <c r="R102" s="136">
        <v>0.075</v>
      </c>
      <c r="S102" s="140">
        <f t="shared" ref="S102:S111" si="77">R102*(C102-J102-K102-M102-N102-P102-Q102)</f>
        <v>0.7981788235</v>
      </c>
      <c r="T102" s="102"/>
      <c r="U102" s="136">
        <v>0.05</v>
      </c>
      <c r="V102" s="140">
        <f t="shared" ref="V102:V111" si="78">U102*(J102+K102)</f>
        <v>0.06666666667</v>
      </c>
      <c r="W102" s="102"/>
      <c r="X102" s="136">
        <v>0.05</v>
      </c>
      <c r="Y102" s="140">
        <f t="shared" ref="Y102:Y111" si="79">X102*(M102+N102)</f>
        <v>0.0012</v>
      </c>
      <c r="Z102" s="102"/>
      <c r="AA102" s="136">
        <v>0.15</v>
      </c>
      <c r="AB102" s="141">
        <f t="shared" ref="AB102:AB111" si="80">AA102*(P102+Q102)</f>
        <v>0.00004235294118</v>
      </c>
      <c r="AC102" s="102"/>
      <c r="AD102" s="102"/>
      <c r="AE102" s="134"/>
      <c r="AF102" s="134"/>
      <c r="AG102" s="134"/>
      <c r="AH102" s="134"/>
      <c r="AI102" s="134"/>
      <c r="AJ102" s="134"/>
      <c r="AK102" s="134"/>
    </row>
    <row r="103">
      <c r="A103" s="101" t="s">
        <v>1624</v>
      </c>
      <c r="B103" s="101" t="s">
        <v>1625</v>
      </c>
      <c r="C103" s="101">
        <f t="shared" si="71"/>
        <v>23</v>
      </c>
      <c r="D103" s="101">
        <v>0.0</v>
      </c>
      <c r="E103" s="101">
        <v>14.0</v>
      </c>
      <c r="F103" s="101">
        <v>16.0</v>
      </c>
      <c r="G103" s="102">
        <f t="shared" si="72"/>
        <v>322</v>
      </c>
      <c r="H103" s="102">
        <f t="shared" si="73"/>
        <v>368</v>
      </c>
      <c r="I103" s="101">
        <v>4.0</v>
      </c>
      <c r="J103" s="102">
        <f t="shared" si="74"/>
        <v>5</v>
      </c>
      <c r="K103" s="136">
        <f>IFERROR(__xludf.DUMMYFUNCTION("TO_PERCENT(C103/I103-J103)"),0.75)</f>
        <v>0.75</v>
      </c>
      <c r="L103" s="101">
        <v>200.0</v>
      </c>
      <c r="M103" s="102">
        <f t="shared" si="75"/>
        <v>0</v>
      </c>
      <c r="N103" s="136">
        <f>IFERROR(__xludf.DUMMYFUNCTION("TO_PERCENT(C103/L103-M103)"),0.115)</f>
        <v>0.115</v>
      </c>
      <c r="O103" s="101">
        <v>4000.0</v>
      </c>
      <c r="P103" s="102">
        <f t="shared" si="76"/>
        <v>0</v>
      </c>
      <c r="Q103" s="136">
        <f>IFERROR(__xludf.DUMMYFUNCTION("TO_PERCENT($C103*$AJ$12/$AG$12/O103-P103)"),0.0013529411764705882)</f>
        <v>0.001352941176</v>
      </c>
      <c r="R103" s="136">
        <v>0.075</v>
      </c>
      <c r="S103" s="140">
        <f t="shared" si="77"/>
        <v>1.285023529</v>
      </c>
      <c r="T103" s="102"/>
      <c r="U103" s="136">
        <v>0.05</v>
      </c>
      <c r="V103" s="140">
        <f t="shared" si="78"/>
        <v>0.2875</v>
      </c>
      <c r="W103" s="102"/>
      <c r="X103" s="136">
        <v>0.05</v>
      </c>
      <c r="Y103" s="140">
        <f t="shared" si="79"/>
        <v>0.00575</v>
      </c>
      <c r="Z103" s="102"/>
      <c r="AA103" s="136">
        <v>0.15</v>
      </c>
      <c r="AB103" s="141">
        <f t="shared" si="80"/>
        <v>0.0002029411765</v>
      </c>
      <c r="AC103" s="102"/>
      <c r="AD103" s="102"/>
      <c r="AE103" s="134"/>
      <c r="AF103" s="134"/>
      <c r="AG103" s="134"/>
      <c r="AH103" s="134"/>
      <c r="AI103" s="134"/>
      <c r="AJ103" s="134"/>
      <c r="AK103" s="134"/>
    </row>
    <row r="104">
      <c r="A104" s="101" t="s">
        <v>1626</v>
      </c>
      <c r="B104" s="101" t="s">
        <v>1627</v>
      </c>
      <c r="C104" s="101">
        <f t="shared" si="71"/>
        <v>58</v>
      </c>
      <c r="D104" s="101">
        <v>0.0</v>
      </c>
      <c r="E104" s="101">
        <v>16.0</v>
      </c>
      <c r="F104" s="101">
        <v>16.0</v>
      </c>
      <c r="G104" s="102">
        <f t="shared" si="72"/>
        <v>928</v>
      </c>
      <c r="H104" s="102">
        <f t="shared" si="73"/>
        <v>928</v>
      </c>
      <c r="I104" s="101">
        <v>5.0</v>
      </c>
      <c r="J104" s="102">
        <f t="shared" si="74"/>
        <v>11</v>
      </c>
      <c r="K104" s="136">
        <f>IFERROR(__xludf.DUMMYFUNCTION("TO_PERCENT(C104/I104-J104)"),0.5999999999999996)</f>
        <v>0.6</v>
      </c>
      <c r="L104" s="101">
        <v>10.0</v>
      </c>
      <c r="M104" s="102">
        <f t="shared" si="75"/>
        <v>5</v>
      </c>
      <c r="N104" s="136">
        <f>IFERROR(__xludf.DUMMYFUNCTION("TO_PERCENT(C104/L104-M104)"),0.7999999999999998)</f>
        <v>0.8</v>
      </c>
      <c r="O104" s="101">
        <v>300.0</v>
      </c>
      <c r="P104" s="102">
        <f t="shared" si="76"/>
        <v>0</v>
      </c>
      <c r="Q104" s="136">
        <f>IFERROR(__xludf.DUMMYFUNCTION("TO_PERCENT($C104*$AJ$12/$AG$12/O104-P104)"),0.04549019607843137)</f>
        <v>0.04549019608</v>
      </c>
      <c r="R104" s="136">
        <v>0.075</v>
      </c>
      <c r="S104" s="140">
        <f t="shared" si="77"/>
        <v>3.041588235</v>
      </c>
      <c r="T104" s="102"/>
      <c r="U104" s="136">
        <v>0.05</v>
      </c>
      <c r="V104" s="140">
        <f t="shared" si="78"/>
        <v>0.58</v>
      </c>
      <c r="W104" s="102"/>
      <c r="X104" s="136">
        <v>0.05</v>
      </c>
      <c r="Y104" s="140">
        <f t="shared" si="79"/>
        <v>0.29</v>
      </c>
      <c r="Z104" s="102"/>
      <c r="AA104" s="136">
        <v>0.15</v>
      </c>
      <c r="AB104" s="141">
        <f t="shared" si="80"/>
        <v>0.006823529412</v>
      </c>
      <c r="AC104" s="102"/>
      <c r="AD104" s="102"/>
      <c r="AE104" s="134"/>
      <c r="AF104" s="134"/>
      <c r="AG104" s="134"/>
      <c r="AH104" s="134"/>
      <c r="AI104" s="134"/>
      <c r="AJ104" s="134"/>
      <c r="AK104" s="134"/>
    </row>
    <row r="105">
      <c r="A105" s="101" t="s">
        <v>1628</v>
      </c>
      <c r="B105" s="102"/>
      <c r="C105" s="101">
        <v>9.0</v>
      </c>
      <c r="D105" s="101">
        <v>0.0</v>
      </c>
      <c r="E105" s="101">
        <v>7.0</v>
      </c>
      <c r="F105" s="101">
        <v>8.0</v>
      </c>
      <c r="G105" s="102">
        <f t="shared" si="72"/>
        <v>63</v>
      </c>
      <c r="H105" s="102">
        <f t="shared" si="73"/>
        <v>72</v>
      </c>
      <c r="I105" s="101">
        <v>10.0</v>
      </c>
      <c r="J105" s="102">
        <f t="shared" si="74"/>
        <v>0</v>
      </c>
      <c r="K105" s="136">
        <f>IFERROR(__xludf.DUMMYFUNCTION("TO_PERCENT(C105/I105-J105)"),0.9)</f>
        <v>0.9</v>
      </c>
      <c r="L105" s="101">
        <v>200.0</v>
      </c>
      <c r="M105" s="102">
        <f t="shared" si="75"/>
        <v>0</v>
      </c>
      <c r="N105" s="136">
        <f>IFERROR(__xludf.DUMMYFUNCTION("TO_PERCENT(C105/L105-M105)"),0.045)</f>
        <v>0.045</v>
      </c>
      <c r="O105" s="101">
        <v>4000.0</v>
      </c>
      <c r="P105" s="102">
        <f t="shared" si="76"/>
        <v>0</v>
      </c>
      <c r="Q105" s="136">
        <f>IFERROR(__xludf.DUMMYFUNCTION("TO_PERCENT($C105*$AJ$12/$AG$12/O105-P105)"),5.294117647058823E-4)</f>
        <v>0.0005294117647</v>
      </c>
      <c r="R105" s="136">
        <v>0.075</v>
      </c>
      <c r="S105" s="140">
        <f t="shared" si="77"/>
        <v>0.6040852941</v>
      </c>
      <c r="T105" s="102"/>
      <c r="U105" s="136">
        <v>0.05</v>
      </c>
      <c r="V105" s="140">
        <f t="shared" si="78"/>
        <v>0.045</v>
      </c>
      <c r="W105" s="102"/>
      <c r="X105" s="136">
        <v>0.05</v>
      </c>
      <c r="Y105" s="140">
        <f t="shared" si="79"/>
        <v>0.00225</v>
      </c>
      <c r="Z105" s="102"/>
      <c r="AA105" s="136">
        <v>0.15</v>
      </c>
      <c r="AB105" s="141">
        <f t="shared" si="80"/>
        <v>0.00007941176471</v>
      </c>
      <c r="AC105" s="102"/>
      <c r="AD105" s="102"/>
      <c r="AE105" s="134"/>
      <c r="AF105" s="134"/>
      <c r="AG105" s="134"/>
      <c r="AH105" s="134"/>
      <c r="AI105" s="134"/>
      <c r="AJ105" s="134"/>
      <c r="AK105" s="134"/>
    </row>
    <row r="106">
      <c r="A106" s="101" t="s">
        <v>1629</v>
      </c>
      <c r="B106" s="102"/>
      <c r="C106" s="101">
        <f t="shared" ref="C106:C108" si="81">ROUND(C16*2.9,0)</f>
        <v>46</v>
      </c>
      <c r="D106" s="101">
        <v>0.0</v>
      </c>
      <c r="E106" s="101">
        <v>14.0</v>
      </c>
      <c r="F106" s="101">
        <v>16.0</v>
      </c>
      <c r="G106" s="102">
        <f t="shared" si="72"/>
        <v>644</v>
      </c>
      <c r="H106" s="102">
        <f t="shared" si="73"/>
        <v>736</v>
      </c>
      <c r="I106" s="101">
        <v>6.0</v>
      </c>
      <c r="J106" s="102">
        <f t="shared" si="74"/>
        <v>7</v>
      </c>
      <c r="K106" s="136">
        <f>IFERROR(__xludf.DUMMYFUNCTION("TO_PERCENT(C106/I106-J106)"),0.666666666666667)</f>
        <v>0.6666666667</v>
      </c>
      <c r="L106" s="101">
        <v>120.0</v>
      </c>
      <c r="M106" s="102">
        <f t="shared" si="75"/>
        <v>0</v>
      </c>
      <c r="N106" s="136">
        <f>IFERROR(__xludf.DUMMYFUNCTION("TO_PERCENT(C106/L106-M106)"),0.38333333333333336)</f>
        <v>0.3833333333</v>
      </c>
      <c r="O106" s="101">
        <v>2400.0</v>
      </c>
      <c r="P106" s="102">
        <f t="shared" si="76"/>
        <v>0</v>
      </c>
      <c r="Q106" s="136">
        <f>IFERROR(__xludf.DUMMYFUNCTION("TO_PERCENT($C106*$AJ$12/$AG$12/O106-P106)"),0.0045098039215686276)</f>
        <v>0.004509803922</v>
      </c>
      <c r="R106" s="136">
        <v>0.075</v>
      </c>
      <c r="S106" s="140">
        <f t="shared" si="77"/>
        <v>2.845911765</v>
      </c>
      <c r="T106" s="102"/>
      <c r="U106" s="136">
        <v>0.05</v>
      </c>
      <c r="V106" s="140">
        <f t="shared" si="78"/>
        <v>0.3833333333</v>
      </c>
      <c r="W106" s="102"/>
      <c r="X106" s="136">
        <v>0.05</v>
      </c>
      <c r="Y106" s="140">
        <f t="shared" si="79"/>
        <v>0.01916666667</v>
      </c>
      <c r="Z106" s="102"/>
      <c r="AA106" s="136">
        <v>0.15</v>
      </c>
      <c r="AB106" s="141">
        <f t="shared" si="80"/>
        <v>0.0006764705882</v>
      </c>
      <c r="AC106" s="102"/>
      <c r="AD106" s="102"/>
      <c r="AE106" s="134"/>
      <c r="AF106" s="134"/>
      <c r="AG106" s="134"/>
      <c r="AH106" s="134"/>
      <c r="AI106" s="134"/>
      <c r="AJ106" s="134"/>
      <c r="AK106" s="134"/>
    </row>
    <row r="107">
      <c r="A107" s="101" t="s">
        <v>107</v>
      </c>
      <c r="B107" s="101" t="s">
        <v>1627</v>
      </c>
      <c r="C107" s="101">
        <f t="shared" si="81"/>
        <v>203</v>
      </c>
      <c r="D107" s="101">
        <v>0.0</v>
      </c>
      <c r="E107" s="101">
        <v>9.0</v>
      </c>
      <c r="F107" s="101">
        <v>9.0</v>
      </c>
      <c r="G107" s="102">
        <f t="shared" si="72"/>
        <v>1827</v>
      </c>
      <c r="H107" s="102">
        <f t="shared" si="73"/>
        <v>1827</v>
      </c>
      <c r="I107" s="101">
        <v>5.0</v>
      </c>
      <c r="J107" s="102">
        <f t="shared" si="74"/>
        <v>40</v>
      </c>
      <c r="K107" s="136">
        <f>IFERROR(__xludf.DUMMYFUNCTION("TO_PERCENT(C107/I107-J107)"),0.6000000000000014)</f>
        <v>0.6</v>
      </c>
      <c r="L107" s="101">
        <v>500.0</v>
      </c>
      <c r="M107" s="102">
        <f t="shared" si="75"/>
        <v>0</v>
      </c>
      <c r="N107" s="136">
        <f>IFERROR(__xludf.DUMMYFUNCTION("TO_PERCENT(C107/L107-M107)"),0.406)</f>
        <v>0.406</v>
      </c>
      <c r="O107" s="101">
        <v>10000.0</v>
      </c>
      <c r="P107" s="102">
        <f t="shared" si="76"/>
        <v>0</v>
      </c>
      <c r="Q107" s="136">
        <f>IFERROR(__xludf.DUMMYFUNCTION("TO_PERCENT($C107*$AJ$12/$AG$12/O107-P107)"),0.004776470588235294)</f>
        <v>0.004776470588</v>
      </c>
      <c r="R107" s="136">
        <v>0.075</v>
      </c>
      <c r="S107" s="140">
        <f t="shared" si="77"/>
        <v>12.14919176</v>
      </c>
      <c r="T107" s="102"/>
      <c r="U107" s="136">
        <v>0.05</v>
      </c>
      <c r="V107" s="140">
        <f t="shared" si="78"/>
        <v>2.03</v>
      </c>
      <c r="W107" s="102"/>
      <c r="X107" s="136">
        <v>0.05</v>
      </c>
      <c r="Y107" s="140">
        <f t="shared" si="79"/>
        <v>0.0203</v>
      </c>
      <c r="Z107" s="102"/>
      <c r="AA107" s="136">
        <v>0.15</v>
      </c>
      <c r="AB107" s="141">
        <f t="shared" si="80"/>
        <v>0.0007164705882</v>
      </c>
      <c r="AC107" s="102"/>
      <c r="AD107" s="102"/>
      <c r="AE107" s="134"/>
      <c r="AF107" s="134"/>
      <c r="AG107" s="134"/>
      <c r="AH107" s="134"/>
      <c r="AI107" s="134"/>
      <c r="AJ107" s="134"/>
      <c r="AK107" s="134"/>
    </row>
    <row r="108">
      <c r="A108" s="101" t="s">
        <v>1630</v>
      </c>
      <c r="B108" s="101" t="s">
        <v>1631</v>
      </c>
      <c r="C108" s="101">
        <f t="shared" si="81"/>
        <v>522</v>
      </c>
      <c r="D108" s="101">
        <v>6.0</v>
      </c>
      <c r="E108" s="101">
        <v>9.0</v>
      </c>
      <c r="F108" s="101">
        <v>9.0</v>
      </c>
      <c r="G108" s="102">
        <f t="shared" si="72"/>
        <v>4698</v>
      </c>
      <c r="H108" s="102">
        <f t="shared" si="73"/>
        <v>4698</v>
      </c>
      <c r="I108" s="101">
        <v>5.0</v>
      </c>
      <c r="J108" s="102">
        <f t="shared" si="74"/>
        <v>104</v>
      </c>
      <c r="K108" s="136">
        <f>IFERROR(__xludf.DUMMYFUNCTION("TO_PERCENT(C108/I108-J108)"),0.4000000000000057)</f>
        <v>0.4</v>
      </c>
      <c r="L108" s="101">
        <v>30.0</v>
      </c>
      <c r="M108" s="102">
        <f t="shared" si="75"/>
        <v>17</v>
      </c>
      <c r="N108" s="136">
        <f>IFERROR(__xludf.DUMMYFUNCTION("TO_PERCENT(C108/L108-M108)"),0.3999999999999986)</f>
        <v>0.4</v>
      </c>
      <c r="O108" s="101">
        <v>600.0</v>
      </c>
      <c r="P108" s="102">
        <f t="shared" si="76"/>
        <v>0</v>
      </c>
      <c r="Q108" s="136">
        <f>IFERROR(__xludf.DUMMYFUNCTION("TO_PERCENT($C108*$AJ$12/$AG$12/O108-P108)"),0.20470588235294118)</f>
        <v>0.2047058824</v>
      </c>
      <c r="R108" s="136">
        <v>0.075</v>
      </c>
      <c r="S108" s="140">
        <f t="shared" si="77"/>
        <v>29.99964706</v>
      </c>
      <c r="T108" s="102"/>
      <c r="U108" s="136">
        <v>0.05</v>
      </c>
      <c r="V108" s="140">
        <f t="shared" si="78"/>
        <v>5.22</v>
      </c>
      <c r="W108" s="102"/>
      <c r="X108" s="136">
        <v>0.05</v>
      </c>
      <c r="Y108" s="140">
        <f t="shared" si="79"/>
        <v>0.87</v>
      </c>
      <c r="Z108" s="102"/>
      <c r="AA108" s="136">
        <v>0.15</v>
      </c>
      <c r="AB108" s="141">
        <f t="shared" si="80"/>
        <v>0.03070588235</v>
      </c>
      <c r="AC108" s="102"/>
      <c r="AD108" s="102"/>
      <c r="AE108" s="134"/>
      <c r="AF108" s="134"/>
      <c r="AG108" s="134"/>
      <c r="AH108" s="134"/>
      <c r="AI108" s="134"/>
      <c r="AJ108" s="134"/>
      <c r="AK108" s="134"/>
    </row>
    <row r="109">
      <c r="A109" s="101" t="s">
        <v>131</v>
      </c>
      <c r="B109" s="101" t="s">
        <v>1627</v>
      </c>
      <c r="C109" s="101">
        <v>17.0</v>
      </c>
      <c r="D109" s="101">
        <v>0.0</v>
      </c>
      <c r="E109" s="101">
        <v>0.0</v>
      </c>
      <c r="F109" s="101">
        <v>0.0</v>
      </c>
      <c r="G109" s="102">
        <f t="shared" si="72"/>
        <v>0</v>
      </c>
      <c r="H109" s="102">
        <f t="shared" si="73"/>
        <v>0</v>
      </c>
      <c r="I109" s="104">
        <v>0.0</v>
      </c>
      <c r="J109" s="101">
        <v>0.0</v>
      </c>
      <c r="K109" s="136">
        <v>0.0</v>
      </c>
      <c r="L109" s="101">
        <v>1.0</v>
      </c>
      <c r="M109" s="101">
        <v>17.0</v>
      </c>
      <c r="N109" s="136">
        <v>0.0</v>
      </c>
      <c r="O109" s="104">
        <v>0.0</v>
      </c>
      <c r="P109" s="101">
        <v>0.0</v>
      </c>
      <c r="Q109" s="136">
        <v>0.0</v>
      </c>
      <c r="R109" s="136">
        <v>0.075</v>
      </c>
      <c r="S109" s="140">
        <f t="shared" si="77"/>
        <v>0</v>
      </c>
      <c r="T109" s="102"/>
      <c r="U109" s="136">
        <v>0.05</v>
      </c>
      <c r="V109" s="140">
        <f t="shared" si="78"/>
        <v>0</v>
      </c>
      <c r="W109" s="102"/>
      <c r="X109" s="136">
        <v>0.05</v>
      </c>
      <c r="Y109" s="140">
        <f t="shared" si="79"/>
        <v>0.85</v>
      </c>
      <c r="Z109" s="102"/>
      <c r="AA109" s="136">
        <v>0.15</v>
      </c>
      <c r="AB109" s="141">
        <f t="shared" si="80"/>
        <v>0</v>
      </c>
      <c r="AC109" s="102"/>
      <c r="AD109" s="102"/>
      <c r="AE109" s="134"/>
      <c r="AF109" s="134"/>
      <c r="AG109" s="134"/>
      <c r="AH109" s="134"/>
      <c r="AI109" s="134"/>
      <c r="AJ109" s="134"/>
      <c r="AK109" s="134"/>
    </row>
    <row r="110">
      <c r="A110" s="101" t="s">
        <v>223</v>
      </c>
      <c r="B110" s="101"/>
      <c r="C110" s="101">
        <v>105.0</v>
      </c>
      <c r="D110" s="101">
        <v>4.0</v>
      </c>
      <c r="E110" s="101">
        <v>5.0</v>
      </c>
      <c r="F110" s="101">
        <v>5.0</v>
      </c>
      <c r="G110" s="102">
        <f t="shared" si="72"/>
        <v>525</v>
      </c>
      <c r="H110" s="102">
        <f t="shared" si="73"/>
        <v>525</v>
      </c>
      <c r="I110" s="101">
        <v>6.0</v>
      </c>
      <c r="J110" s="102">
        <f t="shared" ref="J110:J112" si="82">ROUNDDOWN(C110/I110,0)</f>
        <v>17</v>
      </c>
      <c r="K110" s="136">
        <f>IFERROR(__xludf.DUMMYFUNCTION("TO_PERCENT(C110/I110-J110)"),0.5)</f>
        <v>0.5</v>
      </c>
      <c r="L110" s="101">
        <v>50.0</v>
      </c>
      <c r="M110" s="102">
        <f t="shared" ref="M110:M112" si="83">ROUNDDOWN(C110/L110,0)</f>
        <v>2</v>
      </c>
      <c r="N110" s="136">
        <f>IFERROR(__xludf.DUMMYFUNCTION("TO_PERCENT(C110/L110-M110)"),0.10000000000000009)</f>
        <v>0.1</v>
      </c>
      <c r="O110" s="101">
        <v>8000.0</v>
      </c>
      <c r="P110" s="102">
        <f>ROUNDDOWN($C110*$AJ$12/$AG$12/O110,0)</f>
        <v>0</v>
      </c>
      <c r="Q110" s="136">
        <f>IFERROR(__xludf.DUMMYFUNCTION("TO_PERCENT($C110*$AJ$12/$AG$12/O110-P110)"),0.0030882352941176473)</f>
        <v>0.003088235294</v>
      </c>
      <c r="R110" s="136">
        <v>0.075</v>
      </c>
      <c r="S110" s="140">
        <f t="shared" si="77"/>
        <v>6.404768382</v>
      </c>
      <c r="T110" s="102"/>
      <c r="U110" s="136">
        <v>0.05</v>
      </c>
      <c r="V110" s="140">
        <f t="shared" si="78"/>
        <v>0.875</v>
      </c>
      <c r="W110" s="102"/>
      <c r="X110" s="136">
        <v>0.05</v>
      </c>
      <c r="Y110" s="140">
        <f t="shared" si="79"/>
        <v>0.105</v>
      </c>
      <c r="Z110" s="102"/>
      <c r="AA110" s="136">
        <v>0.15</v>
      </c>
      <c r="AB110" s="141">
        <f t="shared" si="80"/>
        <v>0.0004632352941</v>
      </c>
      <c r="AC110" s="102"/>
      <c r="AD110" s="102"/>
      <c r="AE110" s="134"/>
      <c r="AF110" s="134"/>
      <c r="AG110" s="134"/>
      <c r="AH110" s="134"/>
      <c r="AI110" s="134"/>
      <c r="AJ110" s="134"/>
      <c r="AK110" s="134"/>
    </row>
    <row r="111">
      <c r="A111" s="101" t="s">
        <v>1632</v>
      </c>
      <c r="B111" s="101"/>
      <c r="C111" s="101">
        <v>210.0</v>
      </c>
      <c r="D111" s="101">
        <v>0.0</v>
      </c>
      <c r="E111" s="101">
        <v>7.0</v>
      </c>
      <c r="F111" s="101">
        <v>7.0</v>
      </c>
      <c r="G111" s="102">
        <f t="shared" si="72"/>
        <v>1470</v>
      </c>
      <c r="H111" s="102">
        <f t="shared" si="73"/>
        <v>1470</v>
      </c>
      <c r="I111" s="101">
        <v>5.0</v>
      </c>
      <c r="J111" s="102">
        <f t="shared" si="82"/>
        <v>42</v>
      </c>
      <c r="K111" s="136">
        <f>IFERROR(__xludf.DUMMYFUNCTION("TO_PERCENT(C111/I111-J111)"),0.0)</f>
        <v>0</v>
      </c>
      <c r="L111" s="101">
        <v>30.0</v>
      </c>
      <c r="M111" s="102">
        <f t="shared" si="83"/>
        <v>7</v>
      </c>
      <c r="N111" s="136">
        <f>IFERROR(__xludf.DUMMYFUNCTION("TO_PERCENT(C111/L111-M111)"),0.0)</f>
        <v>0</v>
      </c>
      <c r="O111" s="101">
        <v>1600.0</v>
      </c>
      <c r="P111" s="101">
        <v>0.0</v>
      </c>
      <c r="Q111" s="136">
        <v>0.0666666666666666</v>
      </c>
      <c r="R111" s="136">
        <v>0.075</v>
      </c>
      <c r="S111" s="140">
        <f t="shared" si="77"/>
        <v>12.07</v>
      </c>
      <c r="T111" s="102"/>
      <c r="U111" s="136">
        <v>0.05</v>
      </c>
      <c r="V111" s="140">
        <f t="shared" si="78"/>
        <v>2.1</v>
      </c>
      <c r="W111" s="102"/>
      <c r="X111" s="136">
        <v>0.05</v>
      </c>
      <c r="Y111" s="140">
        <f t="shared" si="79"/>
        <v>0.35</v>
      </c>
      <c r="Z111" s="102"/>
      <c r="AA111" s="136">
        <v>0.15</v>
      </c>
      <c r="AB111" s="141">
        <f t="shared" si="80"/>
        <v>0.01</v>
      </c>
      <c r="AC111" s="102"/>
      <c r="AD111" s="102"/>
      <c r="AE111" s="134"/>
      <c r="AF111" s="134"/>
      <c r="AG111" s="134"/>
      <c r="AH111" s="134"/>
      <c r="AI111" s="134"/>
      <c r="AJ111" s="134"/>
      <c r="AK111" s="134"/>
    </row>
    <row r="112">
      <c r="A112" s="101" t="s">
        <v>1643</v>
      </c>
      <c r="B112" s="101"/>
      <c r="C112" s="101">
        <v>300.0</v>
      </c>
      <c r="D112" s="101">
        <v>0.0</v>
      </c>
      <c r="E112" s="101">
        <v>12.0</v>
      </c>
      <c r="F112" s="101">
        <v>12.0</v>
      </c>
      <c r="G112" s="102">
        <f t="shared" si="72"/>
        <v>3600</v>
      </c>
      <c r="H112" s="102">
        <f t="shared" si="73"/>
        <v>3600</v>
      </c>
      <c r="I112" s="101">
        <v>5.0</v>
      </c>
      <c r="J112" s="102">
        <f t="shared" si="82"/>
        <v>60</v>
      </c>
      <c r="K112" s="136">
        <f>IFERROR(__xludf.DUMMYFUNCTION("TO_PERCENT(C112/I112-J112)"),0.0)</f>
        <v>0</v>
      </c>
      <c r="L112" s="101">
        <v>15.0</v>
      </c>
      <c r="M112" s="102">
        <f t="shared" si="83"/>
        <v>20</v>
      </c>
      <c r="N112" s="136">
        <f>IFERROR(__xludf.DUMMYFUNCTION("TO_PERCENT(C112/L112-M112)"),0.0)</f>
        <v>0</v>
      </c>
      <c r="O112" s="101">
        <v>400.0</v>
      </c>
      <c r="P112" s="101">
        <v>1.0</v>
      </c>
      <c r="Q112" s="136">
        <v>0.0</v>
      </c>
      <c r="R112" s="102"/>
      <c r="S112" s="140"/>
      <c r="T112" s="101">
        <v>55.0</v>
      </c>
      <c r="U112" s="102"/>
      <c r="V112" s="140"/>
      <c r="W112" s="101">
        <v>15.0</v>
      </c>
      <c r="X112" s="102"/>
      <c r="Y112" s="140"/>
      <c r="Z112" s="101">
        <v>5.0</v>
      </c>
      <c r="AA112" s="102"/>
      <c r="AB112" s="141"/>
      <c r="AC112" s="101">
        <v>1.0</v>
      </c>
      <c r="AD112" s="102"/>
      <c r="AE112" s="134"/>
      <c r="AF112" s="134"/>
      <c r="AG112" s="134"/>
      <c r="AH112" s="134"/>
      <c r="AI112" s="134"/>
      <c r="AJ112" s="134"/>
      <c r="AK112" s="134"/>
    </row>
    <row r="113">
      <c r="A113" s="101" t="s">
        <v>1634</v>
      </c>
      <c r="B113" s="101" t="s">
        <v>1622</v>
      </c>
      <c r="C113" s="101">
        <v>0.0</v>
      </c>
      <c r="D113" s="101">
        <v>0.0</v>
      </c>
      <c r="E113" s="101"/>
      <c r="F113" s="101"/>
      <c r="G113" s="101">
        <v>250.0</v>
      </c>
      <c r="H113" s="101">
        <v>500.0</v>
      </c>
      <c r="I113" s="101"/>
      <c r="J113" s="102"/>
      <c r="K113" s="136"/>
      <c r="L113" s="101"/>
      <c r="M113" s="102"/>
      <c r="N113" s="136"/>
      <c r="O113" s="101"/>
      <c r="P113" s="101"/>
      <c r="Q113" s="136"/>
      <c r="R113" s="102"/>
      <c r="S113" s="140"/>
      <c r="T113" s="101"/>
      <c r="U113" s="102"/>
      <c r="V113" s="140"/>
      <c r="W113" s="101"/>
      <c r="X113" s="102"/>
      <c r="Y113" s="140"/>
      <c r="Z113" s="101"/>
      <c r="AA113" s="102"/>
      <c r="AB113" s="141"/>
      <c r="AC113" s="101"/>
      <c r="AD113" s="102"/>
      <c r="AE113" s="134"/>
      <c r="AF113" s="134"/>
      <c r="AG113" s="134"/>
      <c r="AH113" s="134"/>
      <c r="AI113" s="134"/>
      <c r="AJ113" s="134"/>
      <c r="AK113" s="134"/>
    </row>
    <row r="114">
      <c r="A114" s="101" t="s">
        <v>1635</v>
      </c>
      <c r="B114" s="101" t="s">
        <v>1625</v>
      </c>
      <c r="C114" s="101">
        <v>0.0</v>
      </c>
      <c r="D114" s="101">
        <v>0.0</v>
      </c>
      <c r="E114" s="101"/>
      <c r="F114" s="101"/>
      <c r="G114" s="101">
        <v>500.0</v>
      </c>
      <c r="H114" s="101">
        <v>1250.0</v>
      </c>
      <c r="I114" s="101"/>
      <c r="J114" s="102"/>
      <c r="K114" s="136"/>
      <c r="L114" s="101"/>
      <c r="M114" s="102"/>
      <c r="N114" s="136"/>
      <c r="O114" s="101"/>
      <c r="P114" s="101"/>
      <c r="Q114" s="136"/>
      <c r="R114" s="102"/>
      <c r="S114" s="140"/>
      <c r="T114" s="101"/>
      <c r="U114" s="102"/>
      <c r="V114" s="140"/>
      <c r="W114" s="101"/>
      <c r="X114" s="102"/>
      <c r="Y114" s="140"/>
      <c r="Z114" s="101"/>
      <c r="AA114" s="102"/>
      <c r="AB114" s="141"/>
      <c r="AC114" s="101"/>
      <c r="AD114" s="102"/>
      <c r="AE114" s="134"/>
      <c r="AF114" s="134"/>
      <c r="AG114" s="134"/>
      <c r="AH114" s="134"/>
      <c r="AI114" s="134"/>
      <c r="AJ114" s="134"/>
      <c r="AK114" s="134"/>
    </row>
    <row r="115">
      <c r="A115" s="101" t="s">
        <v>1636</v>
      </c>
      <c r="B115" s="101" t="s">
        <v>1627</v>
      </c>
      <c r="C115" s="101">
        <v>0.0</v>
      </c>
      <c r="D115" s="101">
        <v>0.0</v>
      </c>
      <c r="E115" s="101"/>
      <c r="F115" s="101"/>
      <c r="G115" s="101">
        <v>1500.0</v>
      </c>
      <c r="H115" s="101">
        <v>3500.0</v>
      </c>
      <c r="I115" s="101"/>
      <c r="J115" s="102"/>
      <c r="K115" s="136"/>
      <c r="L115" s="101"/>
      <c r="M115" s="102"/>
      <c r="N115" s="136"/>
      <c r="O115" s="101"/>
      <c r="P115" s="101"/>
      <c r="Q115" s="136"/>
      <c r="R115" s="102"/>
      <c r="S115" s="140"/>
      <c r="T115" s="101"/>
      <c r="U115" s="102"/>
      <c r="V115" s="140"/>
      <c r="W115" s="101"/>
      <c r="X115" s="102"/>
      <c r="Y115" s="140"/>
      <c r="Z115" s="101"/>
      <c r="AA115" s="102"/>
      <c r="AB115" s="141"/>
      <c r="AC115" s="101"/>
      <c r="AD115" s="102"/>
      <c r="AE115" s="134"/>
      <c r="AF115" s="134"/>
      <c r="AG115" s="134"/>
      <c r="AH115" s="134"/>
      <c r="AI115" s="134"/>
      <c r="AJ115" s="134"/>
      <c r="AK115" s="134"/>
    </row>
    <row r="116">
      <c r="A116" s="135" t="s">
        <v>1644</v>
      </c>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5"/>
      <c r="AE116" s="134"/>
      <c r="AF116" s="134"/>
      <c r="AG116" s="134"/>
      <c r="AH116" s="134"/>
      <c r="AI116" s="134"/>
      <c r="AJ116" s="134"/>
      <c r="AK116" s="134"/>
    </row>
    <row r="117">
      <c r="A117" s="101" t="s">
        <v>1621</v>
      </c>
      <c r="B117" s="101" t="s">
        <v>1622</v>
      </c>
      <c r="C117" s="101">
        <f t="shared" ref="C117:C119" si="84">ROUND(C12*3.2,0)</f>
        <v>13</v>
      </c>
      <c r="D117" s="101">
        <v>0.0</v>
      </c>
      <c r="E117" s="101">
        <v>7.0</v>
      </c>
      <c r="F117" s="101">
        <v>8.0</v>
      </c>
      <c r="G117" s="102">
        <f t="shared" ref="G117:G127" si="85">E117*C117</f>
        <v>91</v>
      </c>
      <c r="H117" s="102">
        <f t="shared" ref="H117:H127" si="86">F117*C117</f>
        <v>104</v>
      </c>
      <c r="I117" s="101">
        <v>9.0</v>
      </c>
      <c r="J117" s="102">
        <f t="shared" ref="J117:J123" si="87">ROUNDDOWN(C117/I117,0)</f>
        <v>1</v>
      </c>
      <c r="K117" s="136">
        <f>IFERROR(__xludf.DUMMYFUNCTION("TO_PERCENT(C117/I117-J117)"),0.4444444444444444)</f>
        <v>0.4444444444</v>
      </c>
      <c r="L117" s="101">
        <v>500.0</v>
      </c>
      <c r="M117" s="102">
        <f t="shared" ref="M117:M123" si="88">ROUNDDOWN(C117/L117,0)</f>
        <v>0</v>
      </c>
      <c r="N117" s="136">
        <f>IFERROR(__xludf.DUMMYFUNCTION("TO_PERCENT(C117/L117-M117)"),0.026)</f>
        <v>0.026</v>
      </c>
      <c r="O117" s="101">
        <v>10000.0</v>
      </c>
      <c r="P117" s="102">
        <f t="shared" ref="P117:P123" si="89">ROUNDDOWN($C117*$AJ$13/$AG$13/O117,0)</f>
        <v>0</v>
      </c>
      <c r="Q117" s="136">
        <f>IFERROR(__xludf.DUMMYFUNCTION("TO_PERCENT($C117*$AJ$13/$AG$13/O117-P117)"),3.421052631578947E-4)</f>
        <v>0.0003421052632</v>
      </c>
      <c r="R117" s="136">
        <v>0.075</v>
      </c>
      <c r="S117" s="140">
        <f t="shared" ref="S117:S126" si="90">R117*(C117-J117-K117-M117-N117-P117-Q117)</f>
        <v>0.8646910088</v>
      </c>
      <c r="T117" s="102"/>
      <c r="U117" s="136">
        <v>0.05</v>
      </c>
      <c r="V117" s="140">
        <f t="shared" ref="V117:V126" si="91">U117*(J117+K117)</f>
        <v>0.07222222222</v>
      </c>
      <c r="W117" s="102"/>
      <c r="X117" s="136">
        <v>0.05</v>
      </c>
      <c r="Y117" s="140">
        <f t="shared" ref="Y117:Y126" si="92">X117*(M117+N117)</f>
        <v>0.0013</v>
      </c>
      <c r="Z117" s="102"/>
      <c r="AA117" s="136">
        <v>0.15</v>
      </c>
      <c r="AB117" s="141">
        <f t="shared" ref="AB117:AB126" si="93">AA117*(P117+Q117)</f>
        <v>0.00005131578947</v>
      </c>
      <c r="AC117" s="102"/>
      <c r="AD117" s="102"/>
      <c r="AE117" s="134"/>
      <c r="AF117" s="134"/>
      <c r="AG117" s="134"/>
      <c r="AH117" s="134"/>
      <c r="AI117" s="134"/>
      <c r="AJ117" s="134"/>
      <c r="AK117" s="134"/>
    </row>
    <row r="118">
      <c r="A118" s="101" t="s">
        <v>1624</v>
      </c>
      <c r="B118" s="101" t="s">
        <v>1625</v>
      </c>
      <c r="C118" s="101">
        <f t="shared" si="84"/>
        <v>26</v>
      </c>
      <c r="D118" s="101">
        <v>0.0</v>
      </c>
      <c r="E118" s="101">
        <v>14.0</v>
      </c>
      <c r="F118" s="101">
        <v>16.0</v>
      </c>
      <c r="G118" s="102">
        <f t="shared" si="85"/>
        <v>364</v>
      </c>
      <c r="H118" s="102">
        <f t="shared" si="86"/>
        <v>416</v>
      </c>
      <c r="I118" s="101">
        <v>4.0</v>
      </c>
      <c r="J118" s="102">
        <f t="shared" si="87"/>
        <v>6</v>
      </c>
      <c r="K118" s="136">
        <f>IFERROR(__xludf.DUMMYFUNCTION("TO_PERCENT(C118/I118-J118)"),0.5)</f>
        <v>0.5</v>
      </c>
      <c r="L118" s="101">
        <v>200.0</v>
      </c>
      <c r="M118" s="102">
        <f t="shared" si="88"/>
        <v>0</v>
      </c>
      <c r="N118" s="136">
        <f>IFERROR(__xludf.DUMMYFUNCTION("TO_PERCENT(C118/L118-M118)"),0.13)</f>
        <v>0.13</v>
      </c>
      <c r="O118" s="101">
        <v>4000.0</v>
      </c>
      <c r="P118" s="102">
        <f t="shared" si="89"/>
        <v>0</v>
      </c>
      <c r="Q118" s="136">
        <f>IFERROR(__xludf.DUMMYFUNCTION("TO_PERCENT($C118*$AJ$13/$AG$13/O118-P118)"),0.0017105263157894738)</f>
        <v>0.001710526316</v>
      </c>
      <c r="R118" s="136">
        <v>0.075</v>
      </c>
      <c r="S118" s="140">
        <f t="shared" si="90"/>
        <v>1.452621711</v>
      </c>
      <c r="T118" s="102"/>
      <c r="U118" s="136">
        <v>0.05</v>
      </c>
      <c r="V118" s="140">
        <f t="shared" si="91"/>
        <v>0.325</v>
      </c>
      <c r="W118" s="102"/>
      <c r="X118" s="136">
        <v>0.05</v>
      </c>
      <c r="Y118" s="140">
        <f t="shared" si="92"/>
        <v>0.0065</v>
      </c>
      <c r="Z118" s="102"/>
      <c r="AA118" s="136">
        <v>0.15</v>
      </c>
      <c r="AB118" s="141">
        <f t="shared" si="93"/>
        <v>0.0002565789474</v>
      </c>
      <c r="AC118" s="102"/>
      <c r="AD118" s="102"/>
      <c r="AE118" s="134"/>
      <c r="AF118" s="134"/>
      <c r="AG118" s="134"/>
      <c r="AH118" s="134"/>
      <c r="AI118" s="134"/>
      <c r="AJ118" s="134"/>
      <c r="AK118" s="134"/>
    </row>
    <row r="119">
      <c r="A119" s="101" t="s">
        <v>1626</v>
      </c>
      <c r="B119" s="101" t="s">
        <v>1627</v>
      </c>
      <c r="C119" s="101">
        <f t="shared" si="84"/>
        <v>64</v>
      </c>
      <c r="D119" s="101">
        <v>0.0</v>
      </c>
      <c r="E119" s="101">
        <v>16.0</v>
      </c>
      <c r="F119" s="101">
        <v>16.0</v>
      </c>
      <c r="G119" s="102">
        <f t="shared" si="85"/>
        <v>1024</v>
      </c>
      <c r="H119" s="102">
        <f t="shared" si="86"/>
        <v>1024</v>
      </c>
      <c r="I119" s="101">
        <v>5.0</v>
      </c>
      <c r="J119" s="102">
        <f t="shared" si="87"/>
        <v>12</v>
      </c>
      <c r="K119" s="136">
        <f>IFERROR(__xludf.DUMMYFUNCTION("TO_PERCENT(C119/I119-J119)"),0.8000000000000007)</f>
        <v>0.8</v>
      </c>
      <c r="L119" s="101">
        <v>10.0</v>
      </c>
      <c r="M119" s="102">
        <f t="shared" si="88"/>
        <v>6</v>
      </c>
      <c r="N119" s="136">
        <f>IFERROR(__xludf.DUMMYFUNCTION("TO_PERCENT(C119/L119-M119)"),0.40000000000000036)</f>
        <v>0.4</v>
      </c>
      <c r="O119" s="101">
        <v>300.0</v>
      </c>
      <c r="P119" s="102">
        <f t="shared" si="89"/>
        <v>0</v>
      </c>
      <c r="Q119" s="136">
        <f>IFERROR(__xludf.DUMMYFUNCTION("TO_PERCENT($C119*$AJ$13/$AG$13/O119-P119)"),0.05614035087719298)</f>
        <v>0.05614035088</v>
      </c>
      <c r="R119" s="136">
        <v>0.075</v>
      </c>
      <c r="S119" s="140">
        <f t="shared" si="90"/>
        <v>3.355789474</v>
      </c>
      <c r="T119" s="102"/>
      <c r="U119" s="136">
        <v>0.05</v>
      </c>
      <c r="V119" s="140">
        <f t="shared" si="91"/>
        <v>0.64</v>
      </c>
      <c r="W119" s="102"/>
      <c r="X119" s="136">
        <v>0.05</v>
      </c>
      <c r="Y119" s="140">
        <f t="shared" si="92"/>
        <v>0.32</v>
      </c>
      <c r="Z119" s="102"/>
      <c r="AA119" s="136">
        <v>0.15</v>
      </c>
      <c r="AB119" s="141">
        <f t="shared" si="93"/>
        <v>0.008421052632</v>
      </c>
      <c r="AC119" s="102"/>
      <c r="AD119" s="102"/>
      <c r="AE119" s="134"/>
      <c r="AF119" s="134"/>
      <c r="AG119" s="134"/>
      <c r="AH119" s="134"/>
      <c r="AI119" s="134"/>
      <c r="AJ119" s="134"/>
      <c r="AK119" s="134"/>
    </row>
    <row r="120">
      <c r="A120" s="101" t="s">
        <v>1628</v>
      </c>
      <c r="B120" s="102"/>
      <c r="C120" s="101">
        <v>10.0</v>
      </c>
      <c r="D120" s="101">
        <v>0.0</v>
      </c>
      <c r="E120" s="101">
        <v>7.0</v>
      </c>
      <c r="F120" s="101">
        <v>8.0</v>
      </c>
      <c r="G120" s="102">
        <f t="shared" si="85"/>
        <v>70</v>
      </c>
      <c r="H120" s="102">
        <f t="shared" si="86"/>
        <v>80</v>
      </c>
      <c r="I120" s="101">
        <v>10.0</v>
      </c>
      <c r="J120" s="102">
        <f t="shared" si="87"/>
        <v>1</v>
      </c>
      <c r="K120" s="136">
        <f>IFERROR(__xludf.DUMMYFUNCTION("TO_PERCENT(C120/I120-J120)"),0.0)</f>
        <v>0</v>
      </c>
      <c r="L120" s="101">
        <v>200.0</v>
      </c>
      <c r="M120" s="102">
        <f t="shared" si="88"/>
        <v>0</v>
      </c>
      <c r="N120" s="136">
        <f>IFERROR(__xludf.DUMMYFUNCTION("TO_PERCENT(C120/L120-M120)"),0.05)</f>
        <v>0.05</v>
      </c>
      <c r="O120" s="101">
        <v>4000.0</v>
      </c>
      <c r="P120" s="102">
        <f t="shared" si="89"/>
        <v>0</v>
      </c>
      <c r="Q120" s="136">
        <f>IFERROR(__xludf.DUMMYFUNCTION("TO_PERCENT($C120*$AJ$13/$AG$13/O120-P120)"),6.578947368421054E-4)</f>
        <v>0.0006578947368</v>
      </c>
      <c r="R120" s="136">
        <v>0.075</v>
      </c>
      <c r="S120" s="140">
        <f t="shared" si="90"/>
        <v>0.6712006579</v>
      </c>
      <c r="T120" s="102"/>
      <c r="U120" s="136">
        <v>0.05</v>
      </c>
      <c r="V120" s="140">
        <f t="shared" si="91"/>
        <v>0.05</v>
      </c>
      <c r="W120" s="102"/>
      <c r="X120" s="136">
        <v>0.05</v>
      </c>
      <c r="Y120" s="140">
        <f t="shared" si="92"/>
        <v>0.0025</v>
      </c>
      <c r="Z120" s="102"/>
      <c r="AA120" s="136">
        <v>0.15</v>
      </c>
      <c r="AB120" s="141">
        <f t="shared" si="93"/>
        <v>0.00009868421053</v>
      </c>
      <c r="AC120" s="102"/>
      <c r="AD120" s="102"/>
      <c r="AE120" s="134"/>
      <c r="AF120" s="134"/>
      <c r="AG120" s="134"/>
      <c r="AH120" s="134"/>
      <c r="AI120" s="134"/>
      <c r="AJ120" s="134"/>
      <c r="AK120" s="134"/>
    </row>
    <row r="121">
      <c r="A121" s="101" t="s">
        <v>1629</v>
      </c>
      <c r="B121" s="102"/>
      <c r="C121" s="101">
        <f t="shared" ref="C121:C123" si="94">ROUND(C16*3.2,0)</f>
        <v>51</v>
      </c>
      <c r="D121" s="101">
        <v>0.0</v>
      </c>
      <c r="E121" s="101">
        <v>14.0</v>
      </c>
      <c r="F121" s="101">
        <v>16.0</v>
      </c>
      <c r="G121" s="102">
        <f t="shared" si="85"/>
        <v>714</v>
      </c>
      <c r="H121" s="102">
        <f t="shared" si="86"/>
        <v>816</v>
      </c>
      <c r="I121" s="101">
        <v>6.0</v>
      </c>
      <c r="J121" s="102">
        <f t="shared" si="87"/>
        <v>8</v>
      </c>
      <c r="K121" s="136">
        <f>IFERROR(__xludf.DUMMYFUNCTION("TO_PERCENT(C121/I121-J121)"),0.5)</f>
        <v>0.5</v>
      </c>
      <c r="L121" s="101">
        <v>120.0</v>
      </c>
      <c r="M121" s="102">
        <f t="shared" si="88"/>
        <v>0</v>
      </c>
      <c r="N121" s="136">
        <f>IFERROR(__xludf.DUMMYFUNCTION("TO_PERCENT(C121/L121-M121)"),0.425)</f>
        <v>0.425</v>
      </c>
      <c r="O121" s="101">
        <v>2400.0</v>
      </c>
      <c r="P121" s="102">
        <f t="shared" si="89"/>
        <v>0</v>
      </c>
      <c r="Q121" s="136">
        <f>IFERROR(__xludf.DUMMYFUNCTION("TO_PERCENT($C121*$AJ$13/$AG$13/O121-P121)"),0.005592105263157895)</f>
        <v>0.005592105263</v>
      </c>
      <c r="R121" s="136">
        <v>0.075</v>
      </c>
      <c r="S121" s="140">
        <f t="shared" si="90"/>
        <v>3.155205592</v>
      </c>
      <c r="T121" s="102"/>
      <c r="U121" s="136">
        <v>0.05</v>
      </c>
      <c r="V121" s="140">
        <f t="shared" si="91"/>
        <v>0.425</v>
      </c>
      <c r="W121" s="102"/>
      <c r="X121" s="136">
        <v>0.05</v>
      </c>
      <c r="Y121" s="140">
        <f t="shared" si="92"/>
        <v>0.02125</v>
      </c>
      <c r="Z121" s="102"/>
      <c r="AA121" s="136">
        <v>0.15</v>
      </c>
      <c r="AB121" s="141">
        <f t="shared" si="93"/>
        <v>0.0008388157895</v>
      </c>
      <c r="AC121" s="102"/>
      <c r="AD121" s="102"/>
      <c r="AE121" s="134"/>
      <c r="AF121" s="134"/>
      <c r="AG121" s="134"/>
      <c r="AH121" s="134"/>
      <c r="AI121" s="134"/>
      <c r="AJ121" s="134"/>
      <c r="AK121" s="134"/>
    </row>
    <row r="122">
      <c r="A122" s="101" t="s">
        <v>107</v>
      </c>
      <c r="B122" s="101" t="s">
        <v>1627</v>
      </c>
      <c r="C122" s="101">
        <f t="shared" si="94"/>
        <v>224</v>
      </c>
      <c r="D122" s="101">
        <v>0.0</v>
      </c>
      <c r="E122" s="101">
        <v>9.0</v>
      </c>
      <c r="F122" s="101">
        <v>9.0</v>
      </c>
      <c r="G122" s="102">
        <f t="shared" si="85"/>
        <v>2016</v>
      </c>
      <c r="H122" s="102">
        <f t="shared" si="86"/>
        <v>2016</v>
      </c>
      <c r="I122" s="101">
        <v>5.0</v>
      </c>
      <c r="J122" s="102">
        <f t="shared" si="87"/>
        <v>44</v>
      </c>
      <c r="K122" s="136">
        <f>IFERROR(__xludf.DUMMYFUNCTION("TO_PERCENT(C122/I122-J122)"),0.7999999999999972)</f>
        <v>0.8</v>
      </c>
      <c r="L122" s="101">
        <v>500.0</v>
      </c>
      <c r="M122" s="102">
        <f t="shared" si="88"/>
        <v>0</v>
      </c>
      <c r="N122" s="136">
        <f>IFERROR(__xludf.DUMMYFUNCTION("TO_PERCENT(C122/L122-M122)"),0.448)</f>
        <v>0.448</v>
      </c>
      <c r="O122" s="101">
        <v>10000.0</v>
      </c>
      <c r="P122" s="102">
        <f t="shared" si="89"/>
        <v>0</v>
      </c>
      <c r="Q122" s="136">
        <f>IFERROR(__xludf.DUMMYFUNCTION("TO_PERCENT($C122*$AJ$13/$AG$13/O122-P122)"),0.005894736842105263)</f>
        <v>0.005894736842</v>
      </c>
      <c r="R122" s="136">
        <v>0.075</v>
      </c>
      <c r="S122" s="140">
        <f t="shared" si="90"/>
        <v>13.40595789</v>
      </c>
      <c r="T122" s="102"/>
      <c r="U122" s="136">
        <v>0.05</v>
      </c>
      <c r="V122" s="140">
        <f t="shared" si="91"/>
        <v>2.24</v>
      </c>
      <c r="W122" s="102"/>
      <c r="X122" s="136">
        <v>0.05</v>
      </c>
      <c r="Y122" s="140">
        <f t="shared" si="92"/>
        <v>0.0224</v>
      </c>
      <c r="Z122" s="102"/>
      <c r="AA122" s="136">
        <v>0.15</v>
      </c>
      <c r="AB122" s="141">
        <f t="shared" si="93"/>
        <v>0.0008842105263</v>
      </c>
      <c r="AC122" s="102"/>
      <c r="AD122" s="102"/>
      <c r="AE122" s="134"/>
      <c r="AF122" s="134"/>
      <c r="AG122" s="134"/>
      <c r="AH122" s="134"/>
      <c r="AI122" s="134"/>
      <c r="AJ122" s="134"/>
      <c r="AK122" s="134"/>
    </row>
    <row r="123">
      <c r="A123" s="101" t="s">
        <v>1630</v>
      </c>
      <c r="B123" s="101" t="s">
        <v>1631</v>
      </c>
      <c r="C123" s="101">
        <f t="shared" si="94"/>
        <v>576</v>
      </c>
      <c r="D123" s="101">
        <v>6.0</v>
      </c>
      <c r="E123" s="101">
        <v>9.0</v>
      </c>
      <c r="F123" s="101">
        <v>9.0</v>
      </c>
      <c r="G123" s="102">
        <f t="shared" si="85"/>
        <v>5184</v>
      </c>
      <c r="H123" s="102">
        <f t="shared" si="86"/>
        <v>5184</v>
      </c>
      <c r="I123" s="101">
        <v>5.0</v>
      </c>
      <c r="J123" s="102">
        <f t="shared" si="87"/>
        <v>115</v>
      </c>
      <c r="K123" s="136">
        <f>IFERROR(__xludf.DUMMYFUNCTION("TO_PERCENT(C123/I123-J123)"),0.20000000000000284)</f>
        <v>0.2</v>
      </c>
      <c r="L123" s="101">
        <v>30.0</v>
      </c>
      <c r="M123" s="102">
        <f t="shared" si="88"/>
        <v>19</v>
      </c>
      <c r="N123" s="136">
        <f>IFERROR(__xludf.DUMMYFUNCTION("TO_PERCENT(C123/L123-M123)"),0.1999999999999993)</f>
        <v>0.2</v>
      </c>
      <c r="O123" s="101">
        <v>600.0</v>
      </c>
      <c r="P123" s="102">
        <f t="shared" si="89"/>
        <v>0</v>
      </c>
      <c r="Q123" s="136">
        <f>IFERROR(__xludf.DUMMYFUNCTION("TO_PERCENT($C123*$AJ$13/$AG$13/O123-P123)"),0.2526315789473684)</f>
        <v>0.2526315789</v>
      </c>
      <c r="R123" s="136">
        <v>0.075</v>
      </c>
      <c r="S123" s="140">
        <f t="shared" si="90"/>
        <v>33.10105263</v>
      </c>
      <c r="T123" s="102"/>
      <c r="U123" s="136">
        <v>0.05</v>
      </c>
      <c r="V123" s="140">
        <f t="shared" si="91"/>
        <v>5.76</v>
      </c>
      <c r="W123" s="102"/>
      <c r="X123" s="136">
        <v>0.05</v>
      </c>
      <c r="Y123" s="140">
        <f t="shared" si="92"/>
        <v>0.96</v>
      </c>
      <c r="Z123" s="102"/>
      <c r="AA123" s="136">
        <v>0.15</v>
      </c>
      <c r="AB123" s="141">
        <f t="shared" si="93"/>
        <v>0.03789473684</v>
      </c>
      <c r="AC123" s="102"/>
      <c r="AD123" s="102"/>
      <c r="AE123" s="134"/>
      <c r="AF123" s="134"/>
      <c r="AG123" s="134"/>
      <c r="AH123" s="134"/>
      <c r="AI123" s="134"/>
      <c r="AJ123" s="134"/>
      <c r="AK123" s="134"/>
    </row>
    <row r="124">
      <c r="A124" s="101" t="s">
        <v>131</v>
      </c>
      <c r="B124" s="101" t="s">
        <v>1627</v>
      </c>
      <c r="C124" s="101">
        <v>19.0</v>
      </c>
      <c r="D124" s="101">
        <v>0.0</v>
      </c>
      <c r="E124" s="101">
        <v>0.0</v>
      </c>
      <c r="F124" s="101">
        <v>0.0</v>
      </c>
      <c r="G124" s="102">
        <f t="shared" si="85"/>
        <v>0</v>
      </c>
      <c r="H124" s="102">
        <f t="shared" si="86"/>
        <v>0</v>
      </c>
      <c r="I124" s="104">
        <v>0.0</v>
      </c>
      <c r="J124" s="101">
        <v>0.0</v>
      </c>
      <c r="K124" s="136">
        <v>0.0</v>
      </c>
      <c r="L124" s="101">
        <v>1.0</v>
      </c>
      <c r="M124" s="101">
        <v>19.0</v>
      </c>
      <c r="N124" s="136">
        <v>0.0</v>
      </c>
      <c r="O124" s="104">
        <v>0.0</v>
      </c>
      <c r="P124" s="101">
        <v>0.0</v>
      </c>
      <c r="Q124" s="136">
        <v>0.0</v>
      </c>
      <c r="R124" s="136">
        <v>0.075</v>
      </c>
      <c r="S124" s="140">
        <f t="shared" si="90"/>
        <v>0</v>
      </c>
      <c r="T124" s="102"/>
      <c r="U124" s="136">
        <v>0.05</v>
      </c>
      <c r="V124" s="140">
        <f t="shared" si="91"/>
        <v>0</v>
      </c>
      <c r="W124" s="102"/>
      <c r="X124" s="136">
        <v>0.05</v>
      </c>
      <c r="Y124" s="140">
        <f t="shared" si="92"/>
        <v>0.95</v>
      </c>
      <c r="Z124" s="102"/>
      <c r="AA124" s="136">
        <v>0.15</v>
      </c>
      <c r="AB124" s="141">
        <f t="shared" si="93"/>
        <v>0</v>
      </c>
      <c r="AC124" s="102"/>
      <c r="AD124" s="102"/>
      <c r="AE124" s="134"/>
      <c r="AF124" s="134"/>
      <c r="AG124" s="134"/>
      <c r="AH124" s="134"/>
      <c r="AI124" s="134"/>
      <c r="AJ124" s="134"/>
      <c r="AK124" s="134"/>
    </row>
    <row r="125">
      <c r="A125" s="101" t="s">
        <v>223</v>
      </c>
      <c r="B125" s="101"/>
      <c r="C125" s="101">
        <v>109.0</v>
      </c>
      <c r="D125" s="101">
        <v>4.0</v>
      </c>
      <c r="E125" s="101">
        <v>5.0</v>
      </c>
      <c r="F125" s="101">
        <v>5.0</v>
      </c>
      <c r="G125" s="102">
        <f t="shared" si="85"/>
        <v>545</v>
      </c>
      <c r="H125" s="102">
        <f t="shared" si="86"/>
        <v>545</v>
      </c>
      <c r="I125" s="101">
        <v>6.0</v>
      </c>
      <c r="J125" s="102">
        <f t="shared" ref="J125:J127" si="95">ROUNDDOWN(C125/I125,0)</f>
        <v>18</v>
      </c>
      <c r="K125" s="136">
        <f>IFERROR(__xludf.DUMMYFUNCTION("TO_PERCENT(C125/I125-J125)"),0.16666666666666785)</f>
        <v>0.1666666667</v>
      </c>
      <c r="L125" s="101">
        <v>50.0</v>
      </c>
      <c r="M125" s="102">
        <f t="shared" ref="M125:M127" si="96">ROUNDDOWN(C125/L125,0)</f>
        <v>2</v>
      </c>
      <c r="N125" s="136">
        <f>IFERROR(__xludf.DUMMYFUNCTION("TO_PERCENT(C125/L125-M125)"),0.18000000000000016)</f>
        <v>0.18</v>
      </c>
      <c r="O125" s="101">
        <v>8000.0</v>
      </c>
      <c r="P125" s="102">
        <f>ROUNDDOWN($C125*$AJ$13/$AG$13/O125,0)</f>
        <v>0</v>
      </c>
      <c r="Q125" s="136">
        <f>IFERROR(__xludf.DUMMYFUNCTION("TO_PERCENT($C125*$AJ$13/$AG$13/O125-P125)"),0.003585526315789474)</f>
        <v>0.003585526316</v>
      </c>
      <c r="R125" s="136">
        <v>0.075</v>
      </c>
      <c r="S125" s="140">
        <f t="shared" si="90"/>
        <v>6.648731086</v>
      </c>
      <c r="T125" s="102"/>
      <c r="U125" s="136">
        <v>0.05</v>
      </c>
      <c r="V125" s="140">
        <f t="shared" si="91"/>
        <v>0.9083333333</v>
      </c>
      <c r="W125" s="102"/>
      <c r="X125" s="136">
        <v>0.05</v>
      </c>
      <c r="Y125" s="140">
        <f t="shared" si="92"/>
        <v>0.109</v>
      </c>
      <c r="Z125" s="102"/>
      <c r="AA125" s="136">
        <v>0.15</v>
      </c>
      <c r="AB125" s="141">
        <f t="shared" si="93"/>
        <v>0.0005378289474</v>
      </c>
      <c r="AC125" s="102"/>
      <c r="AD125" s="102"/>
      <c r="AE125" s="134"/>
      <c r="AF125" s="134"/>
      <c r="AG125" s="134"/>
      <c r="AH125" s="134"/>
      <c r="AI125" s="134"/>
      <c r="AJ125" s="134"/>
      <c r="AK125" s="134"/>
    </row>
    <row r="126">
      <c r="A126" s="101" t="s">
        <v>1632</v>
      </c>
      <c r="B126" s="101"/>
      <c r="C126" s="101">
        <v>218.0</v>
      </c>
      <c r="D126" s="101">
        <v>0.0</v>
      </c>
      <c r="E126" s="101">
        <v>7.0</v>
      </c>
      <c r="F126" s="101">
        <v>7.0</v>
      </c>
      <c r="G126" s="102">
        <f t="shared" si="85"/>
        <v>1526</v>
      </c>
      <c r="H126" s="102">
        <f t="shared" si="86"/>
        <v>1526</v>
      </c>
      <c r="I126" s="101">
        <v>5.0</v>
      </c>
      <c r="J126" s="102">
        <f t="shared" si="95"/>
        <v>43</v>
      </c>
      <c r="K126" s="136">
        <f>IFERROR(__xludf.DUMMYFUNCTION("TO_PERCENT(C126/I126-J126)"),0.6000000000000014)</f>
        <v>0.6</v>
      </c>
      <c r="L126" s="101">
        <v>30.0</v>
      </c>
      <c r="M126" s="102">
        <f t="shared" si="96"/>
        <v>7</v>
      </c>
      <c r="N126" s="136">
        <f>IFERROR(__xludf.DUMMYFUNCTION("TO_PERCENT(C126/L126-M126)"),0.2666666666666666)</f>
        <v>0.2666666667</v>
      </c>
      <c r="O126" s="101">
        <v>1600.0</v>
      </c>
      <c r="P126" s="104">
        <v>0.0</v>
      </c>
      <c r="Q126" s="136">
        <v>0.0666666666666666</v>
      </c>
      <c r="R126" s="136">
        <v>0.075</v>
      </c>
      <c r="S126" s="140">
        <f t="shared" si="90"/>
        <v>12.53</v>
      </c>
      <c r="T126" s="102"/>
      <c r="U126" s="136">
        <v>0.05</v>
      </c>
      <c r="V126" s="140">
        <f t="shared" si="91"/>
        <v>2.18</v>
      </c>
      <c r="W126" s="102"/>
      <c r="X126" s="136">
        <v>0.05</v>
      </c>
      <c r="Y126" s="140">
        <f t="shared" si="92"/>
        <v>0.3633333333</v>
      </c>
      <c r="Z126" s="102"/>
      <c r="AA126" s="136">
        <v>0.15</v>
      </c>
      <c r="AB126" s="141">
        <f t="shared" si="93"/>
        <v>0.01</v>
      </c>
      <c r="AC126" s="102"/>
      <c r="AD126" s="102"/>
      <c r="AE126" s="134"/>
      <c r="AF126" s="134"/>
      <c r="AG126" s="134"/>
      <c r="AH126" s="134"/>
      <c r="AI126" s="134"/>
      <c r="AJ126" s="134"/>
      <c r="AK126" s="134"/>
    </row>
    <row r="127">
      <c r="A127" s="101" t="s">
        <v>1643</v>
      </c>
      <c r="B127" s="101"/>
      <c r="C127" s="101">
        <v>310.0</v>
      </c>
      <c r="D127" s="101">
        <v>0.0</v>
      </c>
      <c r="E127" s="101">
        <v>12.0</v>
      </c>
      <c r="F127" s="101">
        <v>12.0</v>
      </c>
      <c r="G127" s="102">
        <f t="shared" si="85"/>
        <v>3720</v>
      </c>
      <c r="H127" s="102">
        <f t="shared" si="86"/>
        <v>3720</v>
      </c>
      <c r="I127" s="101">
        <v>5.0</v>
      </c>
      <c r="J127" s="102">
        <f t="shared" si="95"/>
        <v>62</v>
      </c>
      <c r="K127" s="136">
        <f>IFERROR(__xludf.DUMMYFUNCTION("TO_PERCENT(C127/I127-J127)"),0.0)</f>
        <v>0</v>
      </c>
      <c r="L127" s="101">
        <v>15.0</v>
      </c>
      <c r="M127" s="102">
        <f t="shared" si="96"/>
        <v>20</v>
      </c>
      <c r="N127" s="136">
        <f>IFERROR(__xludf.DUMMYFUNCTION("TO_PERCENT(C127/L127-M127)"),0.6666666666666679)</f>
        <v>0.6666666667</v>
      </c>
      <c r="O127" s="101">
        <v>400.0</v>
      </c>
      <c r="P127" s="104">
        <v>1.0</v>
      </c>
      <c r="Q127" s="136">
        <v>0.0</v>
      </c>
      <c r="R127" s="102"/>
      <c r="S127" s="140"/>
      <c r="T127" s="101">
        <v>57.0</v>
      </c>
      <c r="U127" s="102"/>
      <c r="V127" s="140"/>
      <c r="W127" s="101">
        <v>16.0</v>
      </c>
      <c r="X127" s="102"/>
      <c r="Y127" s="140"/>
      <c r="Z127" s="101">
        <v>5.0</v>
      </c>
      <c r="AA127" s="102"/>
      <c r="AB127" s="141"/>
      <c r="AC127" s="101">
        <v>1.0</v>
      </c>
      <c r="AD127" s="102"/>
      <c r="AE127" s="134"/>
      <c r="AF127" s="134"/>
      <c r="AG127" s="134"/>
      <c r="AH127" s="134"/>
      <c r="AI127" s="134"/>
      <c r="AJ127" s="134"/>
      <c r="AK127" s="134"/>
    </row>
    <row r="128">
      <c r="A128" s="101" t="s">
        <v>1634</v>
      </c>
      <c r="B128" s="101" t="s">
        <v>1622</v>
      </c>
      <c r="C128" s="101">
        <v>0.0</v>
      </c>
      <c r="D128" s="101">
        <v>0.0</v>
      </c>
      <c r="E128" s="101"/>
      <c r="F128" s="101"/>
      <c r="G128" s="101">
        <v>250.0</v>
      </c>
      <c r="H128" s="101">
        <v>500.0</v>
      </c>
      <c r="I128" s="101"/>
      <c r="J128" s="102"/>
      <c r="K128" s="136"/>
      <c r="L128" s="101"/>
      <c r="M128" s="102"/>
      <c r="N128" s="136"/>
      <c r="O128" s="101"/>
      <c r="P128" s="104"/>
      <c r="Q128" s="136"/>
      <c r="R128" s="102"/>
      <c r="S128" s="140"/>
      <c r="T128" s="101"/>
      <c r="U128" s="102"/>
      <c r="V128" s="140"/>
      <c r="W128" s="101"/>
      <c r="X128" s="102"/>
      <c r="Y128" s="140"/>
      <c r="Z128" s="101"/>
      <c r="AA128" s="102"/>
      <c r="AB128" s="141"/>
      <c r="AC128" s="101"/>
      <c r="AD128" s="102"/>
      <c r="AE128" s="134"/>
      <c r="AF128" s="134"/>
      <c r="AG128" s="134"/>
      <c r="AH128" s="134"/>
      <c r="AI128" s="134"/>
      <c r="AJ128" s="134"/>
      <c r="AK128" s="134"/>
    </row>
    <row r="129">
      <c r="A129" s="101" t="s">
        <v>1635</v>
      </c>
      <c r="B129" s="101" t="s">
        <v>1625</v>
      </c>
      <c r="C129" s="101">
        <v>0.0</v>
      </c>
      <c r="D129" s="101">
        <v>0.0</v>
      </c>
      <c r="E129" s="101"/>
      <c r="F129" s="101"/>
      <c r="G129" s="101">
        <v>500.0</v>
      </c>
      <c r="H129" s="101">
        <v>1250.0</v>
      </c>
      <c r="I129" s="101"/>
      <c r="J129" s="102"/>
      <c r="K129" s="136"/>
      <c r="L129" s="101"/>
      <c r="M129" s="102"/>
      <c r="N129" s="136"/>
      <c r="O129" s="101"/>
      <c r="P129" s="104"/>
      <c r="Q129" s="136"/>
      <c r="R129" s="102"/>
      <c r="S129" s="140"/>
      <c r="T129" s="101"/>
      <c r="U129" s="102"/>
      <c r="V129" s="140"/>
      <c r="W129" s="101"/>
      <c r="X129" s="102"/>
      <c r="Y129" s="140"/>
      <c r="Z129" s="101"/>
      <c r="AA129" s="102"/>
      <c r="AB129" s="141"/>
      <c r="AC129" s="101"/>
      <c r="AD129" s="102"/>
      <c r="AE129" s="134"/>
      <c r="AF129" s="134"/>
      <c r="AG129" s="134"/>
      <c r="AH129" s="134"/>
      <c r="AI129" s="134"/>
      <c r="AJ129" s="134"/>
      <c r="AK129" s="134"/>
    </row>
    <row r="130">
      <c r="A130" s="101" t="s">
        <v>1636</v>
      </c>
      <c r="B130" s="101" t="s">
        <v>1627</v>
      </c>
      <c r="C130" s="101">
        <v>0.0</v>
      </c>
      <c r="D130" s="101">
        <v>0.0</v>
      </c>
      <c r="E130" s="101"/>
      <c r="F130" s="101"/>
      <c r="G130" s="101">
        <v>1500.0</v>
      </c>
      <c r="H130" s="101">
        <v>3500.0</v>
      </c>
      <c r="I130" s="101"/>
      <c r="J130" s="102"/>
      <c r="K130" s="136"/>
      <c r="L130" s="101"/>
      <c r="M130" s="102"/>
      <c r="N130" s="136"/>
      <c r="O130" s="101"/>
      <c r="P130" s="104"/>
      <c r="Q130" s="136"/>
      <c r="R130" s="102"/>
      <c r="S130" s="140"/>
      <c r="T130" s="101"/>
      <c r="U130" s="102"/>
      <c r="V130" s="140"/>
      <c r="W130" s="101"/>
      <c r="X130" s="102"/>
      <c r="Y130" s="140"/>
      <c r="Z130" s="101"/>
      <c r="AA130" s="102"/>
      <c r="AB130" s="141"/>
      <c r="AC130" s="101"/>
      <c r="AD130" s="102"/>
      <c r="AE130" s="134"/>
      <c r="AF130" s="134"/>
      <c r="AG130" s="134"/>
      <c r="AH130" s="134"/>
      <c r="AI130" s="134"/>
      <c r="AJ130" s="134"/>
      <c r="AK130" s="134"/>
    </row>
    <row r="131">
      <c r="A131" s="135" t="s">
        <v>1645</v>
      </c>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5"/>
      <c r="AE131" s="134"/>
      <c r="AF131" s="134"/>
      <c r="AG131" s="134"/>
      <c r="AH131" s="134"/>
      <c r="AI131" s="134"/>
      <c r="AJ131" s="134"/>
      <c r="AK131" s="134"/>
    </row>
    <row r="132">
      <c r="A132" s="101" t="s">
        <v>1621</v>
      </c>
      <c r="B132" s="101" t="s">
        <v>1622</v>
      </c>
      <c r="C132" s="101">
        <f t="shared" ref="C132:C134" si="97">ROUND(C12*3.5,0)</f>
        <v>14</v>
      </c>
      <c r="D132" s="101">
        <v>0.0</v>
      </c>
      <c r="E132" s="101">
        <v>7.0</v>
      </c>
      <c r="F132" s="101">
        <v>8.0</v>
      </c>
      <c r="G132" s="102">
        <f t="shared" ref="G132:G142" si="98">E132*C132</f>
        <v>98</v>
      </c>
      <c r="H132" s="102">
        <f t="shared" ref="H132:H142" si="99">F132*C132</f>
        <v>112</v>
      </c>
      <c r="I132" s="101">
        <v>9.0</v>
      </c>
      <c r="J132" s="102">
        <f t="shared" ref="J132:J138" si="100">ROUNDDOWN(C132/I132,0)</f>
        <v>1</v>
      </c>
      <c r="K132" s="136">
        <f>IFERROR(__xludf.DUMMYFUNCTION("TO_PERCENT(C132/I132-J132)"),0.5555555555555556)</f>
        <v>0.5555555556</v>
      </c>
      <c r="L132" s="101">
        <v>500.0</v>
      </c>
      <c r="M132" s="102">
        <f t="shared" ref="M132:M138" si="101">ROUNDDOWN(C132/L132,0)</f>
        <v>0</v>
      </c>
      <c r="N132" s="136">
        <f>IFERROR(__xludf.DUMMYFUNCTION("TO_PERCENT(C132/L132-M132)"),0.028)</f>
        <v>0.028</v>
      </c>
      <c r="O132" s="101">
        <v>10000.0</v>
      </c>
      <c r="P132" s="102">
        <f t="shared" ref="P132:P138" si="102">ROUNDDOWN($C132*$AJ$14/$AG$14/O132,0)</f>
        <v>0</v>
      </c>
      <c r="Q132" s="136">
        <f>IFERROR(__xludf.DUMMYFUNCTION("TO_PERCENT($C132*$AJ$14/$AG$14/O132-P132)"),4.2E-4)</f>
        <v>0.00042</v>
      </c>
      <c r="R132" s="136">
        <v>0.1</v>
      </c>
      <c r="S132" s="140">
        <f t="shared" ref="S132:S141" si="103">R132*(C132-J132-K132-M132-N132-P132-Q132)</f>
        <v>1.241602444</v>
      </c>
      <c r="T132" s="102"/>
      <c r="U132" s="136">
        <v>0.075</v>
      </c>
      <c r="V132" s="140">
        <f t="shared" ref="V132:V141" si="104">U132*(J132+K132)</f>
        <v>0.1166666667</v>
      </c>
      <c r="W132" s="102"/>
      <c r="X132" s="136">
        <v>0.075</v>
      </c>
      <c r="Y132" s="140">
        <f t="shared" ref="Y132:Y141" si="105">X132*(M132+N132)</f>
        <v>0.0021</v>
      </c>
      <c r="Z132" s="102"/>
      <c r="AA132" s="136">
        <v>0.25</v>
      </c>
      <c r="AB132" s="141">
        <f t="shared" ref="AB132:AB141" si="106">AA132*(P132+Q132)</f>
        <v>0.000105</v>
      </c>
      <c r="AC132" s="102"/>
      <c r="AD132" s="102"/>
      <c r="AE132" s="134"/>
      <c r="AF132" s="134"/>
      <c r="AG132" s="134"/>
      <c r="AH132" s="134"/>
      <c r="AI132" s="134"/>
      <c r="AJ132" s="134"/>
      <c r="AK132" s="134"/>
    </row>
    <row r="133">
      <c r="A133" s="101" t="s">
        <v>1624</v>
      </c>
      <c r="B133" s="101" t="s">
        <v>1625</v>
      </c>
      <c r="C133" s="101">
        <f t="shared" si="97"/>
        <v>28</v>
      </c>
      <c r="D133" s="101">
        <v>0.0</v>
      </c>
      <c r="E133" s="101">
        <v>14.0</v>
      </c>
      <c r="F133" s="101">
        <v>16.0</v>
      </c>
      <c r="G133" s="102">
        <f t="shared" si="98"/>
        <v>392</v>
      </c>
      <c r="H133" s="102">
        <f t="shared" si="99"/>
        <v>448</v>
      </c>
      <c r="I133" s="101">
        <v>4.0</v>
      </c>
      <c r="J133" s="102">
        <f t="shared" si="100"/>
        <v>7</v>
      </c>
      <c r="K133" s="136">
        <f>IFERROR(__xludf.DUMMYFUNCTION("TO_PERCENT(C133/I133-J133)"),0.0)</f>
        <v>0</v>
      </c>
      <c r="L133" s="101">
        <v>200.0</v>
      </c>
      <c r="M133" s="102">
        <f t="shared" si="101"/>
        <v>0</v>
      </c>
      <c r="N133" s="136">
        <f>IFERROR(__xludf.DUMMYFUNCTION("TO_PERCENT(C133/L133-M133)"),0.14)</f>
        <v>0.14</v>
      </c>
      <c r="O133" s="101">
        <v>4000.0</v>
      </c>
      <c r="P133" s="102">
        <f t="shared" si="102"/>
        <v>0</v>
      </c>
      <c r="Q133" s="136">
        <f>IFERROR(__xludf.DUMMYFUNCTION("TO_PERCENT($C133*$AJ$14/$AG$14/O133-P133)"),0.0021000000000000003)</f>
        <v>0.0021</v>
      </c>
      <c r="R133" s="136">
        <v>0.1</v>
      </c>
      <c r="S133" s="140">
        <f t="shared" si="103"/>
        <v>2.08579</v>
      </c>
      <c r="T133" s="102"/>
      <c r="U133" s="136">
        <v>0.075</v>
      </c>
      <c r="V133" s="140">
        <f t="shared" si="104"/>
        <v>0.525</v>
      </c>
      <c r="W133" s="102"/>
      <c r="X133" s="136">
        <v>0.075</v>
      </c>
      <c r="Y133" s="140">
        <f t="shared" si="105"/>
        <v>0.0105</v>
      </c>
      <c r="Z133" s="102"/>
      <c r="AA133" s="136">
        <v>0.25</v>
      </c>
      <c r="AB133" s="141">
        <f t="shared" si="106"/>
        <v>0.000525</v>
      </c>
      <c r="AC133" s="102"/>
      <c r="AD133" s="102"/>
      <c r="AE133" s="134"/>
      <c r="AF133" s="134"/>
      <c r="AG133" s="134"/>
      <c r="AH133" s="134"/>
      <c r="AI133" s="134"/>
      <c r="AJ133" s="134"/>
      <c r="AK133" s="134"/>
    </row>
    <row r="134">
      <c r="A134" s="101" t="s">
        <v>1626</v>
      </c>
      <c r="B134" s="101" t="s">
        <v>1627</v>
      </c>
      <c r="C134" s="101">
        <f t="shared" si="97"/>
        <v>70</v>
      </c>
      <c r="D134" s="101">
        <v>0.0</v>
      </c>
      <c r="E134" s="101">
        <v>16.0</v>
      </c>
      <c r="F134" s="101">
        <v>16.0</v>
      </c>
      <c r="G134" s="102">
        <f t="shared" si="98"/>
        <v>1120</v>
      </c>
      <c r="H134" s="102">
        <f t="shared" si="99"/>
        <v>1120</v>
      </c>
      <c r="I134" s="101">
        <v>5.0</v>
      </c>
      <c r="J134" s="102">
        <f t="shared" si="100"/>
        <v>14</v>
      </c>
      <c r="K134" s="136">
        <f>IFERROR(__xludf.DUMMYFUNCTION("TO_PERCENT(C134/I134-J134)"),0.0)</f>
        <v>0</v>
      </c>
      <c r="L134" s="101">
        <v>10.0</v>
      </c>
      <c r="M134" s="102">
        <f t="shared" si="101"/>
        <v>7</v>
      </c>
      <c r="N134" s="136">
        <f>IFERROR(__xludf.DUMMYFUNCTION("TO_PERCENT(C134/L134-M134)"),0.0)</f>
        <v>0</v>
      </c>
      <c r="O134" s="101">
        <v>300.0</v>
      </c>
      <c r="P134" s="102">
        <f t="shared" si="102"/>
        <v>0</v>
      </c>
      <c r="Q134" s="136">
        <f>IFERROR(__xludf.DUMMYFUNCTION("TO_PERCENT($C134*$AJ$14/$AG$14/O134-P134)"),0.07)</f>
        <v>0.07</v>
      </c>
      <c r="R134" s="136">
        <v>0.1</v>
      </c>
      <c r="S134" s="140">
        <f t="shared" si="103"/>
        <v>4.893</v>
      </c>
      <c r="T134" s="102"/>
      <c r="U134" s="136">
        <v>0.075</v>
      </c>
      <c r="V134" s="140">
        <f t="shared" si="104"/>
        <v>1.05</v>
      </c>
      <c r="W134" s="102"/>
      <c r="X134" s="136">
        <v>0.075</v>
      </c>
      <c r="Y134" s="140">
        <f t="shared" si="105"/>
        <v>0.525</v>
      </c>
      <c r="Z134" s="102"/>
      <c r="AA134" s="136">
        <v>0.25</v>
      </c>
      <c r="AB134" s="141">
        <f t="shared" si="106"/>
        <v>0.0175</v>
      </c>
      <c r="AC134" s="102"/>
      <c r="AD134" s="102"/>
      <c r="AE134" s="134"/>
      <c r="AF134" s="134"/>
      <c r="AG134" s="134"/>
      <c r="AH134" s="134"/>
      <c r="AI134" s="134"/>
      <c r="AJ134" s="134"/>
      <c r="AK134" s="134"/>
    </row>
    <row r="135">
      <c r="A135" s="101" t="s">
        <v>1628</v>
      </c>
      <c r="B135" s="102"/>
      <c r="C135" s="101">
        <v>11.0</v>
      </c>
      <c r="D135" s="101">
        <v>0.0</v>
      </c>
      <c r="E135" s="101">
        <v>7.0</v>
      </c>
      <c r="F135" s="101">
        <v>8.0</v>
      </c>
      <c r="G135" s="102">
        <f t="shared" si="98"/>
        <v>77</v>
      </c>
      <c r="H135" s="102">
        <f t="shared" si="99"/>
        <v>88</v>
      </c>
      <c r="I135" s="101">
        <v>10.0</v>
      </c>
      <c r="J135" s="102">
        <f t="shared" si="100"/>
        <v>1</v>
      </c>
      <c r="K135" s="136">
        <f>IFERROR(__xludf.DUMMYFUNCTION("TO_PERCENT(C135/I135-J135)"),0.10000000000000009)</f>
        <v>0.1</v>
      </c>
      <c r="L135" s="101">
        <v>200.0</v>
      </c>
      <c r="M135" s="102">
        <f t="shared" si="101"/>
        <v>0</v>
      </c>
      <c r="N135" s="136">
        <f>IFERROR(__xludf.DUMMYFUNCTION("TO_PERCENT(C135/L135-M135)"),0.055)</f>
        <v>0.055</v>
      </c>
      <c r="O135" s="101">
        <v>4000.0</v>
      </c>
      <c r="P135" s="102">
        <f t="shared" si="102"/>
        <v>0</v>
      </c>
      <c r="Q135" s="136">
        <f>IFERROR(__xludf.DUMMYFUNCTION("TO_PERCENT($C135*$AJ$14/$AG$14/O135-P135)"),8.25E-4)</f>
        <v>0.000825</v>
      </c>
      <c r="R135" s="136">
        <v>0.1</v>
      </c>
      <c r="S135" s="140">
        <f t="shared" si="103"/>
        <v>0.9844175</v>
      </c>
      <c r="T135" s="102"/>
      <c r="U135" s="136">
        <v>0.075</v>
      </c>
      <c r="V135" s="140">
        <f t="shared" si="104"/>
        <v>0.0825</v>
      </c>
      <c r="W135" s="102"/>
      <c r="X135" s="136">
        <v>0.075</v>
      </c>
      <c r="Y135" s="140">
        <f t="shared" si="105"/>
        <v>0.004125</v>
      </c>
      <c r="Z135" s="102"/>
      <c r="AA135" s="136">
        <v>0.25</v>
      </c>
      <c r="AB135" s="141">
        <f t="shared" si="106"/>
        <v>0.00020625</v>
      </c>
      <c r="AC135" s="102"/>
      <c r="AD135" s="102"/>
      <c r="AE135" s="134"/>
      <c r="AF135" s="134"/>
      <c r="AG135" s="134"/>
      <c r="AH135" s="134"/>
      <c r="AI135" s="134"/>
      <c r="AJ135" s="134"/>
      <c r="AK135" s="134"/>
    </row>
    <row r="136">
      <c r="A136" s="101" t="s">
        <v>1629</v>
      </c>
      <c r="B136" s="102"/>
      <c r="C136" s="101">
        <f t="shared" ref="C136:C138" si="107">ROUND(C16*3.5,0)</f>
        <v>56</v>
      </c>
      <c r="D136" s="101">
        <v>0.0</v>
      </c>
      <c r="E136" s="101">
        <v>14.0</v>
      </c>
      <c r="F136" s="101">
        <v>16.0</v>
      </c>
      <c r="G136" s="102">
        <f t="shared" si="98"/>
        <v>784</v>
      </c>
      <c r="H136" s="102">
        <f t="shared" si="99"/>
        <v>896</v>
      </c>
      <c r="I136" s="101">
        <v>6.0</v>
      </c>
      <c r="J136" s="102">
        <f t="shared" si="100"/>
        <v>9</v>
      </c>
      <c r="K136" s="136">
        <f>IFERROR(__xludf.DUMMYFUNCTION("TO_PERCENT(C136/I136-J136)"),0.3333333333333339)</f>
        <v>0.3333333333</v>
      </c>
      <c r="L136" s="101">
        <v>120.0</v>
      </c>
      <c r="M136" s="102">
        <f t="shared" si="101"/>
        <v>0</v>
      </c>
      <c r="N136" s="136">
        <f>IFERROR(__xludf.DUMMYFUNCTION("TO_PERCENT(C136/L136-M136)"),0.4666666666666667)</f>
        <v>0.4666666667</v>
      </c>
      <c r="O136" s="101">
        <v>2400.0</v>
      </c>
      <c r="P136" s="102">
        <f t="shared" si="102"/>
        <v>0</v>
      </c>
      <c r="Q136" s="136">
        <f>IFERROR(__xludf.DUMMYFUNCTION("TO_PERCENT($C136*$AJ$14/$AG$14/O136-P136)"),0.007)</f>
        <v>0.007</v>
      </c>
      <c r="R136" s="136">
        <v>0.1</v>
      </c>
      <c r="S136" s="140">
        <f t="shared" si="103"/>
        <v>4.6193</v>
      </c>
      <c r="T136" s="102"/>
      <c r="U136" s="136">
        <v>0.075</v>
      </c>
      <c r="V136" s="140">
        <f t="shared" si="104"/>
        <v>0.7</v>
      </c>
      <c r="W136" s="102"/>
      <c r="X136" s="136">
        <v>0.075</v>
      </c>
      <c r="Y136" s="140">
        <f t="shared" si="105"/>
        <v>0.035</v>
      </c>
      <c r="Z136" s="102"/>
      <c r="AA136" s="136">
        <v>0.25</v>
      </c>
      <c r="AB136" s="141">
        <f t="shared" si="106"/>
        <v>0.00175</v>
      </c>
      <c r="AC136" s="102"/>
      <c r="AD136" s="102"/>
      <c r="AE136" s="134"/>
      <c r="AF136" s="134"/>
      <c r="AG136" s="134"/>
      <c r="AH136" s="134"/>
      <c r="AI136" s="134"/>
      <c r="AJ136" s="134"/>
      <c r="AK136" s="134"/>
    </row>
    <row r="137">
      <c r="A137" s="101" t="s">
        <v>107</v>
      </c>
      <c r="B137" s="101" t="s">
        <v>1627</v>
      </c>
      <c r="C137" s="101">
        <f t="shared" si="107"/>
        <v>245</v>
      </c>
      <c r="D137" s="101">
        <v>0.0</v>
      </c>
      <c r="E137" s="101">
        <v>9.0</v>
      </c>
      <c r="F137" s="101">
        <v>9.0</v>
      </c>
      <c r="G137" s="102">
        <f t="shared" si="98"/>
        <v>2205</v>
      </c>
      <c r="H137" s="102">
        <f t="shared" si="99"/>
        <v>2205</v>
      </c>
      <c r="I137" s="101">
        <v>5.0</v>
      </c>
      <c r="J137" s="102">
        <f t="shared" si="100"/>
        <v>49</v>
      </c>
      <c r="K137" s="136">
        <f>IFERROR(__xludf.DUMMYFUNCTION("TO_PERCENT(C137/I137-J137)"),0.0)</f>
        <v>0</v>
      </c>
      <c r="L137" s="101">
        <v>500.0</v>
      </c>
      <c r="M137" s="102">
        <f t="shared" si="101"/>
        <v>0</v>
      </c>
      <c r="N137" s="136">
        <f>IFERROR(__xludf.DUMMYFUNCTION("TO_PERCENT(C137/L137-M137)"),0.49)</f>
        <v>0.49</v>
      </c>
      <c r="O137" s="101">
        <v>10000.0</v>
      </c>
      <c r="P137" s="102">
        <f t="shared" si="102"/>
        <v>0</v>
      </c>
      <c r="Q137" s="136">
        <f>IFERROR(__xludf.DUMMYFUNCTION("TO_PERCENT($C137*$AJ$14/$AG$14/O137-P137)"),0.00735)</f>
        <v>0.00735</v>
      </c>
      <c r="R137" s="136">
        <v>0.1</v>
      </c>
      <c r="S137" s="140">
        <f t="shared" si="103"/>
        <v>19.550265</v>
      </c>
      <c r="T137" s="102"/>
      <c r="U137" s="136">
        <v>0.075</v>
      </c>
      <c r="V137" s="140">
        <f t="shared" si="104"/>
        <v>3.675</v>
      </c>
      <c r="W137" s="102"/>
      <c r="X137" s="136">
        <v>0.075</v>
      </c>
      <c r="Y137" s="140">
        <f t="shared" si="105"/>
        <v>0.03675</v>
      </c>
      <c r="Z137" s="102"/>
      <c r="AA137" s="136">
        <v>0.25</v>
      </c>
      <c r="AB137" s="141">
        <f t="shared" si="106"/>
        <v>0.0018375</v>
      </c>
      <c r="AC137" s="102"/>
      <c r="AD137" s="102"/>
      <c r="AE137" s="134"/>
      <c r="AF137" s="134"/>
      <c r="AG137" s="134"/>
      <c r="AH137" s="134"/>
      <c r="AI137" s="134"/>
      <c r="AJ137" s="134"/>
      <c r="AK137" s="134"/>
    </row>
    <row r="138">
      <c r="A138" s="101" t="s">
        <v>1630</v>
      </c>
      <c r="B138" s="101" t="s">
        <v>1631</v>
      </c>
      <c r="C138" s="101">
        <f t="shared" si="107"/>
        <v>630</v>
      </c>
      <c r="D138" s="101">
        <v>7.0</v>
      </c>
      <c r="E138" s="101">
        <v>9.0</v>
      </c>
      <c r="F138" s="101">
        <v>9.0</v>
      </c>
      <c r="G138" s="102">
        <f t="shared" si="98"/>
        <v>5670</v>
      </c>
      <c r="H138" s="102">
        <f t="shared" si="99"/>
        <v>5670</v>
      </c>
      <c r="I138" s="101">
        <v>5.0</v>
      </c>
      <c r="J138" s="102">
        <f t="shared" si="100"/>
        <v>126</v>
      </c>
      <c r="K138" s="136">
        <f>IFERROR(__xludf.DUMMYFUNCTION("TO_PERCENT(C138/I138-J138)"),0.0)</f>
        <v>0</v>
      </c>
      <c r="L138" s="101">
        <v>30.0</v>
      </c>
      <c r="M138" s="102">
        <f t="shared" si="101"/>
        <v>21</v>
      </c>
      <c r="N138" s="136">
        <f>IFERROR(__xludf.DUMMYFUNCTION("TO_PERCENT(C138/L138-M138)"),0.0)</f>
        <v>0</v>
      </c>
      <c r="O138" s="101">
        <v>600.0</v>
      </c>
      <c r="P138" s="102">
        <f t="shared" si="102"/>
        <v>0</v>
      </c>
      <c r="Q138" s="136">
        <f>IFERROR(__xludf.DUMMYFUNCTION("TO_PERCENT($C138*$AJ$14/$AG$14/O138-P138)"),0.315)</f>
        <v>0.315</v>
      </c>
      <c r="R138" s="136">
        <v>0.1</v>
      </c>
      <c r="S138" s="140">
        <f t="shared" si="103"/>
        <v>48.2685</v>
      </c>
      <c r="T138" s="102"/>
      <c r="U138" s="136">
        <v>0.075</v>
      </c>
      <c r="V138" s="140">
        <f t="shared" si="104"/>
        <v>9.45</v>
      </c>
      <c r="W138" s="102"/>
      <c r="X138" s="136">
        <v>0.075</v>
      </c>
      <c r="Y138" s="140">
        <f t="shared" si="105"/>
        <v>1.575</v>
      </c>
      <c r="Z138" s="102"/>
      <c r="AA138" s="136">
        <v>0.25</v>
      </c>
      <c r="AB138" s="141">
        <f t="shared" si="106"/>
        <v>0.07875</v>
      </c>
      <c r="AC138" s="102"/>
      <c r="AD138" s="102"/>
      <c r="AE138" s="134"/>
      <c r="AF138" s="134"/>
      <c r="AG138" s="134"/>
      <c r="AH138" s="134"/>
      <c r="AI138" s="134"/>
      <c r="AJ138" s="134"/>
      <c r="AK138" s="134"/>
    </row>
    <row r="139">
      <c r="A139" s="101" t="s">
        <v>131</v>
      </c>
      <c r="B139" s="101" t="s">
        <v>1627</v>
      </c>
      <c r="C139" s="101">
        <v>20.0</v>
      </c>
      <c r="D139" s="101">
        <v>0.0</v>
      </c>
      <c r="E139" s="101">
        <v>0.0</v>
      </c>
      <c r="F139" s="101">
        <v>0.0</v>
      </c>
      <c r="G139" s="102">
        <f t="shared" si="98"/>
        <v>0</v>
      </c>
      <c r="H139" s="102">
        <f t="shared" si="99"/>
        <v>0</v>
      </c>
      <c r="I139" s="104">
        <v>0.0</v>
      </c>
      <c r="J139" s="101">
        <v>0.0</v>
      </c>
      <c r="K139" s="136">
        <v>0.0</v>
      </c>
      <c r="L139" s="101">
        <v>1.0</v>
      </c>
      <c r="M139" s="101">
        <v>20.0</v>
      </c>
      <c r="N139" s="136">
        <v>0.0</v>
      </c>
      <c r="O139" s="104">
        <v>0.0</v>
      </c>
      <c r="P139" s="101">
        <v>0.0</v>
      </c>
      <c r="Q139" s="136">
        <v>0.0</v>
      </c>
      <c r="R139" s="136">
        <v>0.1</v>
      </c>
      <c r="S139" s="140">
        <f t="shared" si="103"/>
        <v>0</v>
      </c>
      <c r="T139" s="102"/>
      <c r="U139" s="136">
        <v>0.075</v>
      </c>
      <c r="V139" s="140">
        <f t="shared" si="104"/>
        <v>0</v>
      </c>
      <c r="W139" s="102"/>
      <c r="X139" s="136">
        <v>0.075</v>
      </c>
      <c r="Y139" s="140">
        <f t="shared" si="105"/>
        <v>1.5</v>
      </c>
      <c r="Z139" s="102"/>
      <c r="AA139" s="136">
        <v>0.25</v>
      </c>
      <c r="AB139" s="141">
        <f t="shared" si="106"/>
        <v>0</v>
      </c>
      <c r="AC139" s="102"/>
      <c r="AD139" s="102"/>
      <c r="AE139" s="134"/>
      <c r="AF139" s="134"/>
      <c r="AG139" s="134"/>
      <c r="AH139" s="134"/>
      <c r="AI139" s="134"/>
      <c r="AJ139" s="134"/>
      <c r="AK139" s="134"/>
    </row>
    <row r="140">
      <c r="A140" s="101" t="s">
        <v>223</v>
      </c>
      <c r="B140" s="101"/>
      <c r="C140" s="101">
        <v>113.0</v>
      </c>
      <c r="D140" s="101">
        <v>4.0</v>
      </c>
      <c r="E140" s="101">
        <v>5.0</v>
      </c>
      <c r="F140" s="101">
        <v>5.0</v>
      </c>
      <c r="G140" s="102">
        <f t="shared" si="98"/>
        <v>565</v>
      </c>
      <c r="H140" s="102">
        <f t="shared" si="99"/>
        <v>565</v>
      </c>
      <c r="I140" s="101">
        <v>6.0</v>
      </c>
      <c r="J140" s="102">
        <f t="shared" ref="J140:J142" si="108">ROUNDDOWN(C140/I140,0)</f>
        <v>18</v>
      </c>
      <c r="K140" s="136">
        <f>IFERROR(__xludf.DUMMYFUNCTION("TO_PERCENT(C140/I140-J140)"),0.8333333333333321)</f>
        <v>0.8333333333</v>
      </c>
      <c r="L140" s="101">
        <v>50.0</v>
      </c>
      <c r="M140" s="102">
        <f t="shared" ref="M140:M142" si="109">ROUNDDOWN(C140/L140,0)</f>
        <v>2</v>
      </c>
      <c r="N140" s="136">
        <f>IFERROR(__xludf.DUMMYFUNCTION("TO_PERCENT(C140/L140-M140)"),0.2599999999999998)</f>
        <v>0.26</v>
      </c>
      <c r="O140" s="101">
        <v>8000.0</v>
      </c>
      <c r="P140" s="102">
        <f>ROUNDDOWN($C140*$AJ$14/$AG$14/O140,0)</f>
        <v>0</v>
      </c>
      <c r="Q140" s="136">
        <f>IFERROR(__xludf.DUMMYFUNCTION("TO_PERCENT($C140*$AJ$14/$AG$14/O140-P140)"),0.0042375)</f>
        <v>0.0042375</v>
      </c>
      <c r="R140" s="136">
        <v>0.1</v>
      </c>
      <c r="S140" s="140">
        <f t="shared" si="103"/>
        <v>9.190242917</v>
      </c>
      <c r="T140" s="102"/>
      <c r="U140" s="136">
        <v>0.075</v>
      </c>
      <c r="V140" s="140">
        <f t="shared" si="104"/>
        <v>1.4125</v>
      </c>
      <c r="W140" s="102"/>
      <c r="X140" s="136">
        <v>0.075</v>
      </c>
      <c r="Y140" s="140">
        <f t="shared" si="105"/>
        <v>0.1695</v>
      </c>
      <c r="Z140" s="102"/>
      <c r="AA140" s="136">
        <v>0.25</v>
      </c>
      <c r="AB140" s="141">
        <f t="shared" si="106"/>
        <v>0.001059375</v>
      </c>
      <c r="AC140" s="102"/>
      <c r="AD140" s="102"/>
      <c r="AE140" s="134"/>
      <c r="AF140" s="134"/>
      <c r="AG140" s="134"/>
      <c r="AH140" s="134"/>
      <c r="AI140" s="134"/>
      <c r="AJ140" s="134"/>
      <c r="AK140" s="134"/>
    </row>
    <row r="141">
      <c r="A141" s="101" t="s">
        <v>1632</v>
      </c>
      <c r="B141" s="101"/>
      <c r="C141" s="101">
        <v>226.0</v>
      </c>
      <c r="D141" s="101">
        <v>0.0</v>
      </c>
      <c r="E141" s="101">
        <v>7.0</v>
      </c>
      <c r="F141" s="101">
        <v>7.0</v>
      </c>
      <c r="G141" s="102">
        <f t="shared" si="98"/>
        <v>1582</v>
      </c>
      <c r="H141" s="102">
        <f t="shared" si="99"/>
        <v>1582</v>
      </c>
      <c r="I141" s="101">
        <v>5.0</v>
      </c>
      <c r="J141" s="102">
        <f t="shared" si="108"/>
        <v>45</v>
      </c>
      <c r="K141" s="136">
        <f>IFERROR(__xludf.DUMMYFUNCTION("TO_PERCENT(C141/I141-J141)"),0.20000000000000284)</f>
        <v>0.2</v>
      </c>
      <c r="L141" s="101">
        <v>30.0</v>
      </c>
      <c r="M141" s="102">
        <f t="shared" si="109"/>
        <v>7</v>
      </c>
      <c r="N141" s="136">
        <f>IFERROR(__xludf.DUMMYFUNCTION("TO_PERCENT(C141/L141-M141)"),0.5333333333333332)</f>
        <v>0.5333333333</v>
      </c>
      <c r="O141" s="101">
        <v>1600.0</v>
      </c>
      <c r="P141" s="104">
        <v>0.0</v>
      </c>
      <c r="Q141" s="136">
        <v>0.0666666666666666</v>
      </c>
      <c r="R141" s="136">
        <v>0.1</v>
      </c>
      <c r="S141" s="140">
        <f t="shared" si="103"/>
        <v>17.32</v>
      </c>
      <c r="T141" s="102"/>
      <c r="U141" s="136">
        <v>0.075</v>
      </c>
      <c r="V141" s="140">
        <f t="shared" si="104"/>
        <v>3.39</v>
      </c>
      <c r="W141" s="102"/>
      <c r="X141" s="136">
        <v>0.075</v>
      </c>
      <c r="Y141" s="140">
        <f t="shared" si="105"/>
        <v>0.565</v>
      </c>
      <c r="Z141" s="102"/>
      <c r="AA141" s="136">
        <v>0.25</v>
      </c>
      <c r="AB141" s="141">
        <f t="shared" si="106"/>
        <v>0.01666666667</v>
      </c>
      <c r="AC141" s="102"/>
      <c r="AD141" s="102"/>
      <c r="AE141" s="134"/>
      <c r="AF141" s="134"/>
      <c r="AG141" s="134"/>
      <c r="AH141" s="134"/>
      <c r="AI141" s="134"/>
      <c r="AJ141" s="134"/>
      <c r="AK141" s="134"/>
    </row>
    <row r="142">
      <c r="A142" s="101" t="s">
        <v>1643</v>
      </c>
      <c r="B142" s="101"/>
      <c r="C142" s="101">
        <v>320.0</v>
      </c>
      <c r="D142" s="101">
        <v>0.0</v>
      </c>
      <c r="E142" s="101">
        <v>12.0</v>
      </c>
      <c r="F142" s="101">
        <v>12.0</v>
      </c>
      <c r="G142" s="102">
        <f t="shared" si="98"/>
        <v>3840</v>
      </c>
      <c r="H142" s="102">
        <f t="shared" si="99"/>
        <v>3840</v>
      </c>
      <c r="I142" s="101">
        <v>5.0</v>
      </c>
      <c r="J142" s="102">
        <f t="shared" si="108"/>
        <v>64</v>
      </c>
      <c r="K142" s="136">
        <f>IFERROR(__xludf.DUMMYFUNCTION("TO_PERCENT(C142/I142-J142)"),0.0)</f>
        <v>0</v>
      </c>
      <c r="L142" s="101">
        <v>15.0</v>
      </c>
      <c r="M142" s="102">
        <f t="shared" si="109"/>
        <v>21</v>
      </c>
      <c r="N142" s="136">
        <f>IFERROR(__xludf.DUMMYFUNCTION("TO_PERCENT(C142/L142-M142)"),0.33333333333333215)</f>
        <v>0.3333333333</v>
      </c>
      <c r="O142" s="101">
        <v>400.0</v>
      </c>
      <c r="P142" s="104">
        <v>1.0</v>
      </c>
      <c r="Q142" s="136">
        <v>0.0</v>
      </c>
      <c r="R142" s="102"/>
      <c r="S142" s="140"/>
      <c r="T142" s="101">
        <v>59.0</v>
      </c>
      <c r="U142" s="102"/>
      <c r="V142" s="140"/>
      <c r="W142" s="101">
        <v>16.0</v>
      </c>
      <c r="X142" s="102"/>
      <c r="Y142" s="140"/>
      <c r="Z142" s="101">
        <v>5.0</v>
      </c>
      <c r="AA142" s="102"/>
      <c r="AB142" s="141"/>
      <c r="AC142" s="101">
        <v>1.0</v>
      </c>
      <c r="AD142" s="102"/>
      <c r="AE142" s="134"/>
      <c r="AF142" s="134"/>
      <c r="AG142" s="134"/>
      <c r="AH142" s="134"/>
      <c r="AI142" s="134"/>
      <c r="AJ142" s="134"/>
      <c r="AK142" s="134"/>
    </row>
    <row r="143">
      <c r="A143" s="101" t="s">
        <v>1634</v>
      </c>
      <c r="B143" s="101" t="s">
        <v>1622</v>
      </c>
      <c r="C143" s="101">
        <v>0.0</v>
      </c>
      <c r="D143" s="101">
        <v>0.0</v>
      </c>
      <c r="E143" s="101"/>
      <c r="F143" s="101"/>
      <c r="G143" s="101">
        <v>500.0</v>
      </c>
      <c r="H143" s="101">
        <v>1000.0</v>
      </c>
      <c r="I143" s="101"/>
      <c r="J143" s="102"/>
      <c r="K143" s="136"/>
      <c r="L143" s="101"/>
      <c r="M143" s="102"/>
      <c r="N143" s="136"/>
      <c r="O143" s="101"/>
      <c r="P143" s="104"/>
      <c r="Q143" s="136"/>
      <c r="R143" s="102"/>
      <c r="S143" s="140"/>
      <c r="T143" s="101"/>
      <c r="U143" s="102"/>
      <c r="V143" s="140"/>
      <c r="W143" s="101"/>
      <c r="X143" s="102"/>
      <c r="Y143" s="140"/>
      <c r="Z143" s="101"/>
      <c r="AA143" s="102"/>
      <c r="AB143" s="141"/>
      <c r="AC143" s="101"/>
      <c r="AD143" s="102"/>
      <c r="AE143" s="134"/>
      <c r="AF143" s="134"/>
      <c r="AG143" s="134"/>
      <c r="AH143" s="134"/>
      <c r="AI143" s="134"/>
      <c r="AJ143" s="134"/>
      <c r="AK143" s="134"/>
    </row>
    <row r="144">
      <c r="A144" s="101" t="s">
        <v>1635</v>
      </c>
      <c r="B144" s="101" t="s">
        <v>1625</v>
      </c>
      <c r="C144" s="101">
        <v>0.0</v>
      </c>
      <c r="D144" s="101">
        <v>0.0</v>
      </c>
      <c r="E144" s="101"/>
      <c r="F144" s="101"/>
      <c r="G144" s="101">
        <v>1000.0</v>
      </c>
      <c r="H144" s="101">
        <v>2500.0</v>
      </c>
      <c r="I144" s="101"/>
      <c r="J144" s="102"/>
      <c r="K144" s="136"/>
      <c r="L144" s="101"/>
      <c r="M144" s="102"/>
      <c r="N144" s="136"/>
      <c r="O144" s="101"/>
      <c r="P144" s="104"/>
      <c r="Q144" s="136"/>
      <c r="R144" s="102"/>
      <c r="S144" s="140"/>
      <c r="T144" s="101"/>
      <c r="U144" s="102"/>
      <c r="V144" s="140"/>
      <c r="W144" s="101"/>
      <c r="X144" s="102"/>
      <c r="Y144" s="140"/>
      <c r="Z144" s="101"/>
      <c r="AA144" s="102"/>
      <c r="AB144" s="141"/>
      <c r="AC144" s="101"/>
      <c r="AD144" s="102"/>
      <c r="AE144" s="134"/>
      <c r="AF144" s="134"/>
      <c r="AG144" s="134"/>
      <c r="AH144" s="134"/>
      <c r="AI144" s="134"/>
      <c r="AJ144" s="134"/>
      <c r="AK144" s="134"/>
    </row>
    <row r="145">
      <c r="A145" s="101" t="s">
        <v>1636</v>
      </c>
      <c r="B145" s="101" t="s">
        <v>1627</v>
      </c>
      <c r="C145" s="101">
        <v>0.0</v>
      </c>
      <c r="D145" s="101">
        <v>0.0</v>
      </c>
      <c r="E145" s="101"/>
      <c r="F145" s="101"/>
      <c r="G145" s="101">
        <v>3500.0</v>
      </c>
      <c r="H145" s="101">
        <v>6500.0</v>
      </c>
      <c r="I145" s="101"/>
      <c r="J145" s="102"/>
      <c r="K145" s="136"/>
      <c r="L145" s="101"/>
      <c r="M145" s="102"/>
      <c r="N145" s="136"/>
      <c r="O145" s="101"/>
      <c r="P145" s="104"/>
      <c r="Q145" s="136"/>
      <c r="R145" s="102"/>
      <c r="S145" s="140"/>
      <c r="T145" s="101"/>
      <c r="U145" s="102"/>
      <c r="V145" s="140"/>
      <c r="W145" s="101"/>
      <c r="X145" s="102"/>
      <c r="Y145" s="140"/>
      <c r="Z145" s="101"/>
      <c r="AA145" s="102"/>
      <c r="AB145" s="141"/>
      <c r="AC145" s="101"/>
      <c r="AD145" s="102"/>
      <c r="AE145" s="134"/>
      <c r="AF145" s="134"/>
      <c r="AG145" s="134"/>
      <c r="AH145" s="134"/>
      <c r="AI145" s="134"/>
      <c r="AJ145" s="134"/>
      <c r="AK145" s="134"/>
    </row>
    <row r="146">
      <c r="A146" s="135" t="s">
        <v>1646</v>
      </c>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5"/>
      <c r="AE146" s="134"/>
      <c r="AF146" s="134"/>
      <c r="AG146" s="134"/>
      <c r="AH146" s="134"/>
      <c r="AI146" s="134"/>
      <c r="AJ146" s="134"/>
      <c r="AK146" s="134"/>
    </row>
    <row r="147">
      <c r="A147" s="101" t="s">
        <v>1621</v>
      </c>
      <c r="B147" s="101" t="s">
        <v>1622</v>
      </c>
      <c r="C147" s="101">
        <f t="shared" ref="C147:C149" si="110">ROUND(C12*3.8,0)</f>
        <v>15</v>
      </c>
      <c r="D147" s="101">
        <v>0.0</v>
      </c>
      <c r="E147" s="101">
        <v>7.0</v>
      </c>
      <c r="F147" s="101">
        <v>8.0</v>
      </c>
      <c r="G147" s="102">
        <f t="shared" ref="G147:G157" si="111">E147*C147</f>
        <v>105</v>
      </c>
      <c r="H147" s="102">
        <f t="shared" ref="H147:H157" si="112">F147*C147</f>
        <v>120</v>
      </c>
      <c r="I147" s="101">
        <v>9.0</v>
      </c>
      <c r="J147" s="102">
        <f t="shared" ref="J147:J153" si="113">ROUNDDOWN(C147/I147,0)</f>
        <v>1</v>
      </c>
      <c r="K147" s="136">
        <f>IFERROR(__xludf.DUMMYFUNCTION("TO_PERCENT(C147/I147-J147)"),0.6666666666666667)</f>
        <v>0.6666666667</v>
      </c>
      <c r="L147" s="101">
        <v>500.0</v>
      </c>
      <c r="M147" s="102">
        <f t="shared" ref="M147:M153" si="114">ROUNDDOWN(C147/L147,0)</f>
        <v>0</v>
      </c>
      <c r="N147" s="136">
        <f>IFERROR(__xludf.DUMMYFUNCTION("TO_PERCENT(C147/L147-M147)"),0.03)</f>
        <v>0.03</v>
      </c>
      <c r="O147" s="101">
        <v>10000.0</v>
      </c>
      <c r="P147" s="102">
        <f t="shared" ref="P147:P153" si="115">ROUNDDOWN($C147*$AJ$15/$AG$15/O147,0)</f>
        <v>0</v>
      </c>
      <c r="Q147" s="136">
        <f>IFERROR(__xludf.DUMMYFUNCTION("TO_PERCENT($C147*$AJ$15/$AG$15/O147-P147)"),5.454545454545454E-4)</f>
        <v>0.0005454545455</v>
      </c>
      <c r="R147" s="136">
        <v>0.1</v>
      </c>
      <c r="S147" s="140">
        <f t="shared" ref="S147:S156" si="116">R147*(C147-J147-K147-M147-N147-P147-Q147)</f>
        <v>1.330278788</v>
      </c>
      <c r="T147" s="102"/>
      <c r="U147" s="136">
        <v>0.075</v>
      </c>
      <c r="V147" s="140">
        <f t="shared" ref="V147:V156" si="117">U147*(J147+K147)</f>
        <v>0.125</v>
      </c>
      <c r="W147" s="102"/>
      <c r="X147" s="136">
        <v>0.075</v>
      </c>
      <c r="Y147" s="140">
        <f t="shared" ref="Y147:Y156" si="118">X147*(M147+N147)</f>
        <v>0.00225</v>
      </c>
      <c r="Z147" s="102"/>
      <c r="AA147" s="136">
        <v>0.25</v>
      </c>
      <c r="AB147" s="141">
        <f t="shared" ref="AB147:AB156" si="119">AA147*(P147+Q147)</f>
        <v>0.0001363636364</v>
      </c>
      <c r="AC147" s="102"/>
      <c r="AD147" s="102"/>
      <c r="AE147" s="134"/>
      <c r="AF147" s="134"/>
      <c r="AG147" s="134"/>
      <c r="AH147" s="134"/>
      <c r="AI147" s="134"/>
      <c r="AJ147" s="134"/>
      <c r="AK147" s="134"/>
    </row>
    <row r="148">
      <c r="A148" s="101" t="s">
        <v>1624</v>
      </c>
      <c r="B148" s="101" t="s">
        <v>1625</v>
      </c>
      <c r="C148" s="101">
        <f t="shared" si="110"/>
        <v>30</v>
      </c>
      <c r="D148" s="101">
        <v>0.0</v>
      </c>
      <c r="E148" s="101">
        <v>14.0</v>
      </c>
      <c r="F148" s="101">
        <v>16.0</v>
      </c>
      <c r="G148" s="102">
        <f t="shared" si="111"/>
        <v>420</v>
      </c>
      <c r="H148" s="102">
        <f t="shared" si="112"/>
        <v>480</v>
      </c>
      <c r="I148" s="101">
        <v>4.0</v>
      </c>
      <c r="J148" s="102">
        <f t="shared" si="113"/>
        <v>7</v>
      </c>
      <c r="K148" s="136">
        <f>IFERROR(__xludf.DUMMYFUNCTION("TO_PERCENT(C148/I148-J148)"),0.5)</f>
        <v>0.5</v>
      </c>
      <c r="L148" s="101">
        <v>200.0</v>
      </c>
      <c r="M148" s="102">
        <f t="shared" si="114"/>
        <v>0</v>
      </c>
      <c r="N148" s="136">
        <f>IFERROR(__xludf.DUMMYFUNCTION("TO_PERCENT(C148/L148-M148)"),0.15)</f>
        <v>0.15</v>
      </c>
      <c r="O148" s="101">
        <v>4000.0</v>
      </c>
      <c r="P148" s="102">
        <f t="shared" si="115"/>
        <v>0</v>
      </c>
      <c r="Q148" s="136">
        <f>IFERROR(__xludf.DUMMYFUNCTION("TO_PERCENT($C148*$AJ$15/$AG$15/O148-P148)"),0.002727272727272727)</f>
        <v>0.002727272727</v>
      </c>
      <c r="R148" s="136">
        <v>0.1</v>
      </c>
      <c r="S148" s="140">
        <f t="shared" si="116"/>
        <v>2.234727273</v>
      </c>
      <c r="T148" s="102"/>
      <c r="U148" s="136">
        <v>0.075</v>
      </c>
      <c r="V148" s="140">
        <f t="shared" si="117"/>
        <v>0.5625</v>
      </c>
      <c r="W148" s="102"/>
      <c r="X148" s="136">
        <v>0.075</v>
      </c>
      <c r="Y148" s="140">
        <f t="shared" si="118"/>
        <v>0.01125</v>
      </c>
      <c r="Z148" s="102"/>
      <c r="AA148" s="136">
        <v>0.25</v>
      </c>
      <c r="AB148" s="141">
        <f t="shared" si="119"/>
        <v>0.0006818181818</v>
      </c>
      <c r="AC148" s="102"/>
      <c r="AD148" s="102"/>
      <c r="AE148" s="134"/>
      <c r="AF148" s="134"/>
      <c r="AG148" s="134"/>
      <c r="AH148" s="134"/>
      <c r="AI148" s="134"/>
      <c r="AJ148" s="134"/>
      <c r="AK148" s="134"/>
    </row>
    <row r="149">
      <c r="A149" s="101" t="s">
        <v>1626</v>
      </c>
      <c r="B149" s="101" t="s">
        <v>1627</v>
      </c>
      <c r="C149" s="101">
        <f t="shared" si="110"/>
        <v>76</v>
      </c>
      <c r="D149" s="101">
        <v>0.0</v>
      </c>
      <c r="E149" s="101">
        <v>16.0</v>
      </c>
      <c r="F149" s="101">
        <v>16.0</v>
      </c>
      <c r="G149" s="102">
        <f t="shared" si="111"/>
        <v>1216</v>
      </c>
      <c r="H149" s="102">
        <f t="shared" si="112"/>
        <v>1216</v>
      </c>
      <c r="I149" s="101">
        <v>5.0</v>
      </c>
      <c r="J149" s="102">
        <f t="shared" si="113"/>
        <v>15</v>
      </c>
      <c r="K149" s="136">
        <f>IFERROR(__xludf.DUMMYFUNCTION("TO_PERCENT(C149/I149-J149)"),0.1999999999999993)</f>
        <v>0.2</v>
      </c>
      <c r="L149" s="101">
        <v>10.0</v>
      </c>
      <c r="M149" s="102">
        <f t="shared" si="114"/>
        <v>7</v>
      </c>
      <c r="N149" s="136">
        <f>IFERROR(__xludf.DUMMYFUNCTION("TO_PERCENT(C149/L149-M149)"),0.5999999999999996)</f>
        <v>0.6</v>
      </c>
      <c r="O149" s="101">
        <v>300.0</v>
      </c>
      <c r="P149" s="102">
        <f t="shared" si="115"/>
        <v>0</v>
      </c>
      <c r="Q149" s="136">
        <f>IFERROR(__xludf.DUMMYFUNCTION("TO_PERCENT($C149*$AJ$15/$AG$15/O149-P149)"),0.09212121212121212)</f>
        <v>0.09212121212</v>
      </c>
      <c r="R149" s="136">
        <v>0.1</v>
      </c>
      <c r="S149" s="140">
        <f t="shared" si="116"/>
        <v>5.310787879</v>
      </c>
      <c r="T149" s="102"/>
      <c r="U149" s="136">
        <v>0.075</v>
      </c>
      <c r="V149" s="140">
        <f t="shared" si="117"/>
        <v>1.14</v>
      </c>
      <c r="W149" s="102"/>
      <c r="X149" s="136">
        <v>0.075</v>
      </c>
      <c r="Y149" s="140">
        <f t="shared" si="118"/>
        <v>0.57</v>
      </c>
      <c r="Z149" s="102"/>
      <c r="AA149" s="136">
        <v>0.25</v>
      </c>
      <c r="AB149" s="141">
        <f t="shared" si="119"/>
        <v>0.02303030303</v>
      </c>
      <c r="AC149" s="102"/>
      <c r="AD149" s="102"/>
      <c r="AE149" s="134"/>
      <c r="AF149" s="134"/>
      <c r="AG149" s="134"/>
      <c r="AH149" s="134"/>
      <c r="AI149" s="134"/>
      <c r="AJ149" s="134"/>
      <c r="AK149" s="134"/>
    </row>
    <row r="150">
      <c r="A150" s="101" t="s">
        <v>1628</v>
      </c>
      <c r="B150" s="102"/>
      <c r="C150" s="101">
        <v>12.0</v>
      </c>
      <c r="D150" s="101">
        <v>0.0</v>
      </c>
      <c r="E150" s="101">
        <v>7.0</v>
      </c>
      <c r="F150" s="101">
        <v>8.0</v>
      </c>
      <c r="G150" s="102">
        <f t="shared" si="111"/>
        <v>84</v>
      </c>
      <c r="H150" s="102">
        <f t="shared" si="112"/>
        <v>96</v>
      </c>
      <c r="I150" s="101">
        <v>10.0</v>
      </c>
      <c r="J150" s="102">
        <f t="shared" si="113"/>
        <v>1</v>
      </c>
      <c r="K150" s="136">
        <f>IFERROR(__xludf.DUMMYFUNCTION("TO_PERCENT(C150/I150-J150)"),0.19999999999999996)</f>
        <v>0.2</v>
      </c>
      <c r="L150" s="101">
        <v>200.0</v>
      </c>
      <c r="M150" s="102">
        <f t="shared" si="114"/>
        <v>0</v>
      </c>
      <c r="N150" s="136">
        <f>IFERROR(__xludf.DUMMYFUNCTION("TO_PERCENT(C150/L150-M150)"),0.06)</f>
        <v>0.06</v>
      </c>
      <c r="O150" s="101">
        <v>4000.0</v>
      </c>
      <c r="P150" s="102">
        <f t="shared" si="115"/>
        <v>0</v>
      </c>
      <c r="Q150" s="136">
        <f>IFERROR(__xludf.DUMMYFUNCTION("TO_PERCENT($C150*$AJ$15/$AG$15/O150-P150)"),0.0010909090909090907)</f>
        <v>0.001090909091</v>
      </c>
      <c r="R150" s="136">
        <v>0.1</v>
      </c>
      <c r="S150" s="140">
        <f t="shared" si="116"/>
        <v>1.073890909</v>
      </c>
      <c r="T150" s="102"/>
      <c r="U150" s="136">
        <v>0.075</v>
      </c>
      <c r="V150" s="140">
        <f t="shared" si="117"/>
        <v>0.09</v>
      </c>
      <c r="W150" s="102"/>
      <c r="X150" s="136">
        <v>0.075</v>
      </c>
      <c r="Y150" s="140">
        <f t="shared" si="118"/>
        <v>0.0045</v>
      </c>
      <c r="Z150" s="102"/>
      <c r="AA150" s="136">
        <v>0.25</v>
      </c>
      <c r="AB150" s="141">
        <f t="shared" si="119"/>
        <v>0.0002727272727</v>
      </c>
      <c r="AC150" s="102"/>
      <c r="AD150" s="102"/>
      <c r="AE150" s="134"/>
      <c r="AF150" s="134"/>
      <c r="AG150" s="134"/>
      <c r="AH150" s="134"/>
      <c r="AI150" s="134"/>
      <c r="AJ150" s="134"/>
      <c r="AK150" s="134"/>
    </row>
    <row r="151">
      <c r="A151" s="101" t="s">
        <v>1629</v>
      </c>
      <c r="B151" s="102"/>
      <c r="C151" s="101">
        <f t="shared" ref="C151:C153" si="120">ROUND(C16*3.8,0)</f>
        <v>61</v>
      </c>
      <c r="D151" s="101">
        <v>0.0</v>
      </c>
      <c r="E151" s="101">
        <v>14.0</v>
      </c>
      <c r="F151" s="101">
        <v>16.0</v>
      </c>
      <c r="G151" s="102">
        <f t="shared" si="111"/>
        <v>854</v>
      </c>
      <c r="H151" s="102">
        <f t="shared" si="112"/>
        <v>976</v>
      </c>
      <c r="I151" s="101">
        <v>6.0</v>
      </c>
      <c r="J151" s="102">
        <f t="shared" si="113"/>
        <v>10</v>
      </c>
      <c r="K151" s="136">
        <f>IFERROR(__xludf.DUMMYFUNCTION("TO_PERCENT(C151/I151-J151)"),0.16666666666666607)</f>
        <v>0.1666666667</v>
      </c>
      <c r="L151" s="101">
        <v>120.0</v>
      </c>
      <c r="M151" s="102">
        <f t="shared" si="114"/>
        <v>0</v>
      </c>
      <c r="N151" s="136">
        <f>IFERROR(__xludf.DUMMYFUNCTION("TO_PERCENT(C151/L151-M151)"),0.5083333333333333)</f>
        <v>0.5083333333</v>
      </c>
      <c r="O151" s="101">
        <v>2400.0</v>
      </c>
      <c r="P151" s="102">
        <f t="shared" si="115"/>
        <v>0</v>
      </c>
      <c r="Q151" s="136">
        <f>IFERROR(__xludf.DUMMYFUNCTION("TO_PERCENT($C151*$AJ$15/$AG$15/O151-P151)"),0.009242424242424243)</f>
        <v>0.009242424242</v>
      </c>
      <c r="R151" s="136">
        <v>0.1</v>
      </c>
      <c r="S151" s="140">
        <f t="shared" si="116"/>
        <v>5.031575758</v>
      </c>
      <c r="T151" s="102"/>
      <c r="U151" s="136">
        <v>0.075</v>
      </c>
      <c r="V151" s="140">
        <f t="shared" si="117"/>
        <v>0.7625</v>
      </c>
      <c r="W151" s="102"/>
      <c r="X151" s="136">
        <v>0.075</v>
      </c>
      <c r="Y151" s="140">
        <f t="shared" si="118"/>
        <v>0.038125</v>
      </c>
      <c r="Z151" s="102"/>
      <c r="AA151" s="136">
        <v>0.25</v>
      </c>
      <c r="AB151" s="141">
        <f t="shared" si="119"/>
        <v>0.002310606061</v>
      </c>
      <c r="AC151" s="102"/>
      <c r="AD151" s="102"/>
      <c r="AE151" s="134"/>
      <c r="AF151" s="134"/>
      <c r="AG151" s="134"/>
      <c r="AH151" s="134"/>
      <c r="AI151" s="134"/>
      <c r="AJ151" s="134"/>
      <c r="AK151" s="134"/>
    </row>
    <row r="152">
      <c r="A152" s="101" t="s">
        <v>107</v>
      </c>
      <c r="B152" s="101" t="s">
        <v>1627</v>
      </c>
      <c r="C152" s="101">
        <f t="shared" si="120"/>
        <v>266</v>
      </c>
      <c r="D152" s="101">
        <v>0.0</v>
      </c>
      <c r="E152" s="101">
        <v>9.0</v>
      </c>
      <c r="F152" s="101">
        <v>9.0</v>
      </c>
      <c r="G152" s="102">
        <f t="shared" si="111"/>
        <v>2394</v>
      </c>
      <c r="H152" s="102">
        <f t="shared" si="112"/>
        <v>2394</v>
      </c>
      <c r="I152" s="101">
        <v>5.0</v>
      </c>
      <c r="J152" s="102">
        <f t="shared" si="113"/>
        <v>53</v>
      </c>
      <c r="K152" s="136">
        <f>IFERROR(__xludf.DUMMYFUNCTION("TO_PERCENT(C152/I152-J152)"),0.20000000000000284)</f>
        <v>0.2</v>
      </c>
      <c r="L152" s="101">
        <v>500.0</v>
      </c>
      <c r="M152" s="102">
        <f t="shared" si="114"/>
        <v>0</v>
      </c>
      <c r="N152" s="136">
        <f>IFERROR(__xludf.DUMMYFUNCTION("TO_PERCENT(C152/L152-M152)"),0.532)</f>
        <v>0.532</v>
      </c>
      <c r="O152" s="101">
        <v>10000.0</v>
      </c>
      <c r="P152" s="102">
        <f t="shared" si="115"/>
        <v>0</v>
      </c>
      <c r="Q152" s="136">
        <f>IFERROR(__xludf.DUMMYFUNCTION("TO_PERCENT($C152*$AJ$15/$AG$15/O152-P152)"),0.009672727272727274)</f>
        <v>0.009672727273</v>
      </c>
      <c r="R152" s="136">
        <v>0.1</v>
      </c>
      <c r="S152" s="140">
        <f t="shared" si="116"/>
        <v>21.22583273</v>
      </c>
      <c r="T152" s="102"/>
      <c r="U152" s="136">
        <v>0.075</v>
      </c>
      <c r="V152" s="140">
        <f t="shared" si="117"/>
        <v>3.99</v>
      </c>
      <c r="W152" s="102"/>
      <c r="X152" s="136">
        <v>0.075</v>
      </c>
      <c r="Y152" s="140">
        <f t="shared" si="118"/>
        <v>0.0399</v>
      </c>
      <c r="Z152" s="102"/>
      <c r="AA152" s="136">
        <v>0.25</v>
      </c>
      <c r="AB152" s="141">
        <f t="shared" si="119"/>
        <v>0.002418181818</v>
      </c>
      <c r="AC152" s="102"/>
      <c r="AD152" s="102"/>
      <c r="AE152" s="134"/>
      <c r="AF152" s="134"/>
      <c r="AG152" s="134"/>
      <c r="AH152" s="134"/>
      <c r="AI152" s="134"/>
      <c r="AJ152" s="134"/>
      <c r="AK152" s="134"/>
    </row>
    <row r="153">
      <c r="A153" s="101" t="s">
        <v>1630</v>
      </c>
      <c r="B153" s="101" t="s">
        <v>1631</v>
      </c>
      <c r="C153" s="101">
        <f t="shared" si="120"/>
        <v>684</v>
      </c>
      <c r="D153" s="101">
        <v>7.0</v>
      </c>
      <c r="E153" s="101">
        <v>9.0</v>
      </c>
      <c r="F153" s="101">
        <v>9.0</v>
      </c>
      <c r="G153" s="102">
        <f t="shared" si="111"/>
        <v>6156</v>
      </c>
      <c r="H153" s="102">
        <f t="shared" si="112"/>
        <v>6156</v>
      </c>
      <c r="I153" s="101">
        <v>5.0</v>
      </c>
      <c r="J153" s="102">
        <f t="shared" si="113"/>
        <v>136</v>
      </c>
      <c r="K153" s="136">
        <f>IFERROR(__xludf.DUMMYFUNCTION("TO_PERCENT(C153/I153-J153)"),0.8000000000000114)</f>
        <v>0.8</v>
      </c>
      <c r="L153" s="101">
        <v>30.0</v>
      </c>
      <c r="M153" s="102">
        <f t="shared" si="114"/>
        <v>22</v>
      </c>
      <c r="N153" s="136">
        <f>IFERROR(__xludf.DUMMYFUNCTION("TO_PERCENT(C153/L153-M153)"),0.8000000000000007)</f>
        <v>0.8</v>
      </c>
      <c r="O153" s="101">
        <v>600.0</v>
      </c>
      <c r="P153" s="102">
        <f t="shared" si="115"/>
        <v>0</v>
      </c>
      <c r="Q153" s="136">
        <f>IFERROR(__xludf.DUMMYFUNCTION("TO_PERCENT($C153*$AJ$15/$AG$15/O153-P153)"),0.41454545454545455)</f>
        <v>0.4145454545</v>
      </c>
      <c r="R153" s="136">
        <v>0.1</v>
      </c>
      <c r="S153" s="140">
        <f t="shared" si="116"/>
        <v>52.39854545</v>
      </c>
      <c r="T153" s="102"/>
      <c r="U153" s="136">
        <v>0.075</v>
      </c>
      <c r="V153" s="140">
        <f t="shared" si="117"/>
        <v>10.26</v>
      </c>
      <c r="W153" s="102"/>
      <c r="X153" s="136">
        <v>0.075</v>
      </c>
      <c r="Y153" s="140">
        <f t="shared" si="118"/>
        <v>1.71</v>
      </c>
      <c r="Z153" s="102"/>
      <c r="AA153" s="136">
        <v>0.25</v>
      </c>
      <c r="AB153" s="141">
        <f t="shared" si="119"/>
        <v>0.1036363636</v>
      </c>
      <c r="AC153" s="102"/>
      <c r="AD153" s="102"/>
      <c r="AE153" s="134"/>
      <c r="AF153" s="134"/>
      <c r="AG153" s="134"/>
      <c r="AH153" s="134"/>
      <c r="AI153" s="134"/>
      <c r="AJ153" s="134"/>
      <c r="AK153" s="134"/>
    </row>
    <row r="154">
      <c r="A154" s="101" t="s">
        <v>131</v>
      </c>
      <c r="B154" s="101" t="s">
        <v>1627</v>
      </c>
      <c r="C154" s="101">
        <v>20.0</v>
      </c>
      <c r="D154" s="101">
        <v>0.0</v>
      </c>
      <c r="E154" s="101">
        <v>0.0</v>
      </c>
      <c r="F154" s="101">
        <v>0.0</v>
      </c>
      <c r="G154" s="102">
        <f t="shared" si="111"/>
        <v>0</v>
      </c>
      <c r="H154" s="102">
        <f t="shared" si="112"/>
        <v>0</v>
      </c>
      <c r="I154" s="104">
        <v>0.0</v>
      </c>
      <c r="J154" s="101">
        <v>0.0</v>
      </c>
      <c r="K154" s="136">
        <v>0.0</v>
      </c>
      <c r="L154" s="101">
        <v>1.0</v>
      </c>
      <c r="M154" s="101">
        <v>20.0</v>
      </c>
      <c r="N154" s="136">
        <v>0.0</v>
      </c>
      <c r="O154" s="104">
        <v>0.0</v>
      </c>
      <c r="P154" s="101">
        <v>0.0</v>
      </c>
      <c r="Q154" s="136">
        <v>0.0</v>
      </c>
      <c r="R154" s="136">
        <v>0.1</v>
      </c>
      <c r="S154" s="140">
        <f t="shared" si="116"/>
        <v>0</v>
      </c>
      <c r="T154" s="102"/>
      <c r="U154" s="136">
        <v>0.075</v>
      </c>
      <c r="V154" s="140">
        <f t="shared" si="117"/>
        <v>0</v>
      </c>
      <c r="W154" s="102"/>
      <c r="X154" s="136">
        <v>0.075</v>
      </c>
      <c r="Y154" s="140">
        <f t="shared" si="118"/>
        <v>1.5</v>
      </c>
      <c r="Z154" s="102"/>
      <c r="AA154" s="136">
        <v>0.25</v>
      </c>
      <c r="AB154" s="141">
        <f t="shared" si="119"/>
        <v>0</v>
      </c>
      <c r="AC154" s="102"/>
      <c r="AD154" s="102"/>
      <c r="AE154" s="134"/>
      <c r="AF154" s="134"/>
      <c r="AG154" s="134"/>
      <c r="AH154" s="134"/>
      <c r="AI154" s="134"/>
      <c r="AJ154" s="134"/>
      <c r="AK154" s="134"/>
    </row>
    <row r="155">
      <c r="A155" s="101" t="s">
        <v>223</v>
      </c>
      <c r="B155" s="101"/>
      <c r="C155" s="101">
        <v>117.0</v>
      </c>
      <c r="D155" s="101">
        <v>5.0</v>
      </c>
      <c r="E155" s="101">
        <v>5.0</v>
      </c>
      <c r="F155" s="101">
        <v>5.0</v>
      </c>
      <c r="G155" s="102">
        <f t="shared" si="111"/>
        <v>585</v>
      </c>
      <c r="H155" s="102">
        <f t="shared" si="112"/>
        <v>585</v>
      </c>
      <c r="I155" s="101">
        <v>6.0</v>
      </c>
      <c r="J155" s="102">
        <f t="shared" ref="J155:J157" si="121">ROUNDDOWN(C155/I155,0)</f>
        <v>19</v>
      </c>
      <c r="K155" s="136">
        <f>IFERROR(__xludf.DUMMYFUNCTION("TO_PERCENT(C155/I155-J155)"),0.5)</f>
        <v>0.5</v>
      </c>
      <c r="L155" s="101">
        <v>50.0</v>
      </c>
      <c r="M155" s="102">
        <f t="shared" ref="M155:M157" si="122">ROUNDDOWN(C155/L155,0)</f>
        <v>2</v>
      </c>
      <c r="N155" s="136">
        <f>IFERROR(__xludf.DUMMYFUNCTION("TO_PERCENT(C155/L155-M155)"),0.33999999999999986)</f>
        <v>0.34</v>
      </c>
      <c r="O155" s="101">
        <v>8000.0</v>
      </c>
      <c r="P155" s="102">
        <f>ROUNDDOWN($C155*$AJ$15/$AG$15/O155,0)</f>
        <v>0</v>
      </c>
      <c r="Q155" s="136">
        <f>IFERROR(__xludf.DUMMYFUNCTION("TO_PERCENT($C155*$AJ$15/$AG$15/O155-P155)"),0.005318181818181818)</f>
        <v>0.005318181818</v>
      </c>
      <c r="R155" s="136">
        <v>0.1</v>
      </c>
      <c r="S155" s="140">
        <f t="shared" si="116"/>
        <v>9.515468182</v>
      </c>
      <c r="T155" s="102"/>
      <c r="U155" s="136">
        <v>0.075</v>
      </c>
      <c r="V155" s="140">
        <f t="shared" si="117"/>
        <v>1.4625</v>
      </c>
      <c r="W155" s="102"/>
      <c r="X155" s="136">
        <v>0.075</v>
      </c>
      <c r="Y155" s="140">
        <f t="shared" si="118"/>
        <v>0.1755</v>
      </c>
      <c r="Z155" s="102"/>
      <c r="AA155" s="136">
        <v>0.25</v>
      </c>
      <c r="AB155" s="141">
        <f t="shared" si="119"/>
        <v>0.001329545455</v>
      </c>
      <c r="AC155" s="102"/>
      <c r="AD155" s="102"/>
      <c r="AE155" s="134"/>
      <c r="AF155" s="134"/>
      <c r="AG155" s="134"/>
      <c r="AH155" s="134"/>
      <c r="AI155" s="134"/>
      <c r="AJ155" s="134"/>
      <c r="AK155" s="134"/>
    </row>
    <row r="156">
      <c r="A156" s="101" t="s">
        <v>1632</v>
      </c>
      <c r="B156" s="101"/>
      <c r="C156" s="101">
        <v>234.0</v>
      </c>
      <c r="D156" s="101">
        <v>0.0</v>
      </c>
      <c r="E156" s="101">
        <v>7.0</v>
      </c>
      <c r="F156" s="101">
        <v>7.0</v>
      </c>
      <c r="G156" s="102">
        <f t="shared" si="111"/>
        <v>1638</v>
      </c>
      <c r="H156" s="102">
        <f t="shared" si="112"/>
        <v>1638</v>
      </c>
      <c r="I156" s="101">
        <v>5.0</v>
      </c>
      <c r="J156" s="102">
        <f t="shared" si="121"/>
        <v>46</v>
      </c>
      <c r="K156" s="136">
        <f>IFERROR(__xludf.DUMMYFUNCTION("TO_PERCENT(C156/I156-J156)"),0.7999999999999972)</f>
        <v>0.8</v>
      </c>
      <c r="L156" s="101">
        <v>30.0</v>
      </c>
      <c r="M156" s="102">
        <f t="shared" si="122"/>
        <v>7</v>
      </c>
      <c r="N156" s="136">
        <f>IFERROR(__xludf.DUMMYFUNCTION("TO_PERCENT(C156/L156-M156)"),0.7999999999999998)</f>
        <v>0.8</v>
      </c>
      <c r="O156" s="101">
        <v>1600.0</v>
      </c>
      <c r="P156" s="101">
        <v>0.0</v>
      </c>
      <c r="Q156" s="136">
        <v>0.1</v>
      </c>
      <c r="R156" s="136">
        <v>0.1</v>
      </c>
      <c r="S156" s="140">
        <f t="shared" si="116"/>
        <v>17.93</v>
      </c>
      <c r="T156" s="102"/>
      <c r="U156" s="136">
        <v>0.075</v>
      </c>
      <c r="V156" s="140">
        <f t="shared" si="117"/>
        <v>3.51</v>
      </c>
      <c r="W156" s="102"/>
      <c r="X156" s="136">
        <v>0.075</v>
      </c>
      <c r="Y156" s="140">
        <f t="shared" si="118"/>
        <v>0.585</v>
      </c>
      <c r="Z156" s="102"/>
      <c r="AA156" s="136">
        <v>0.25</v>
      </c>
      <c r="AB156" s="141">
        <f t="shared" si="119"/>
        <v>0.025</v>
      </c>
      <c r="AC156" s="102"/>
      <c r="AD156" s="102"/>
      <c r="AE156" s="134"/>
      <c r="AF156" s="134"/>
      <c r="AG156" s="134"/>
      <c r="AH156" s="134"/>
      <c r="AI156" s="134"/>
      <c r="AJ156" s="134"/>
      <c r="AK156" s="134"/>
    </row>
    <row r="157">
      <c r="A157" s="101" t="s">
        <v>1643</v>
      </c>
      <c r="B157" s="101"/>
      <c r="C157" s="101">
        <v>330.0</v>
      </c>
      <c r="D157" s="101">
        <v>0.0</v>
      </c>
      <c r="E157" s="101">
        <v>12.0</v>
      </c>
      <c r="F157" s="101">
        <v>12.0</v>
      </c>
      <c r="G157" s="102">
        <f t="shared" si="111"/>
        <v>3960</v>
      </c>
      <c r="H157" s="102">
        <f t="shared" si="112"/>
        <v>3960</v>
      </c>
      <c r="I157" s="101">
        <v>5.0</v>
      </c>
      <c r="J157" s="102">
        <f t="shared" si="121"/>
        <v>66</v>
      </c>
      <c r="K157" s="136">
        <f>IFERROR(__xludf.DUMMYFUNCTION("TO_PERCENT(C157/I157-J157)"),0.0)</f>
        <v>0</v>
      </c>
      <c r="L157" s="101">
        <v>15.0</v>
      </c>
      <c r="M157" s="102">
        <f t="shared" si="122"/>
        <v>22</v>
      </c>
      <c r="N157" s="136">
        <f>IFERROR(__xludf.DUMMYFUNCTION("TO_PERCENT(C157/L157-M157)"),0.0)</f>
        <v>0</v>
      </c>
      <c r="O157" s="101">
        <v>400.0</v>
      </c>
      <c r="P157" s="104">
        <v>1.0</v>
      </c>
      <c r="Q157" s="136">
        <v>0.0</v>
      </c>
      <c r="R157" s="102"/>
      <c r="S157" s="140"/>
      <c r="T157" s="101">
        <v>60.0</v>
      </c>
      <c r="U157" s="102"/>
      <c r="V157" s="140"/>
      <c r="W157" s="101">
        <v>17.0</v>
      </c>
      <c r="X157" s="102"/>
      <c r="Y157" s="140"/>
      <c r="Z157" s="101">
        <v>6.0</v>
      </c>
      <c r="AA157" s="102"/>
      <c r="AB157" s="141"/>
      <c r="AC157" s="101">
        <v>1.0</v>
      </c>
      <c r="AD157" s="102"/>
      <c r="AE157" s="134"/>
      <c r="AF157" s="134"/>
      <c r="AG157" s="134"/>
      <c r="AH157" s="134"/>
      <c r="AI157" s="134"/>
      <c r="AJ157" s="134"/>
      <c r="AK157" s="134"/>
    </row>
    <row r="158">
      <c r="A158" s="101" t="s">
        <v>1634</v>
      </c>
      <c r="B158" s="101" t="s">
        <v>1622</v>
      </c>
      <c r="C158" s="101">
        <v>0.0</v>
      </c>
      <c r="D158" s="101">
        <v>0.0</v>
      </c>
      <c r="E158" s="101"/>
      <c r="F158" s="101"/>
      <c r="G158" s="101">
        <v>500.0</v>
      </c>
      <c r="H158" s="101">
        <v>1000.0</v>
      </c>
      <c r="I158" s="101"/>
      <c r="J158" s="102"/>
      <c r="K158" s="136"/>
      <c r="L158" s="101"/>
      <c r="M158" s="102"/>
      <c r="N158" s="136"/>
      <c r="O158" s="101"/>
      <c r="P158" s="104"/>
      <c r="Q158" s="136"/>
      <c r="R158" s="102"/>
      <c r="S158" s="140"/>
      <c r="T158" s="101"/>
      <c r="U158" s="102"/>
      <c r="V158" s="140"/>
      <c r="W158" s="101"/>
      <c r="X158" s="102"/>
      <c r="Y158" s="140"/>
      <c r="Z158" s="101"/>
      <c r="AA158" s="102"/>
      <c r="AB158" s="141"/>
      <c r="AC158" s="101"/>
      <c r="AD158" s="102"/>
      <c r="AE158" s="134"/>
      <c r="AF158" s="134"/>
      <c r="AG158" s="134"/>
      <c r="AH158" s="134"/>
      <c r="AI158" s="134"/>
      <c r="AJ158" s="134"/>
      <c r="AK158" s="134"/>
    </row>
    <row r="159">
      <c r="A159" s="101" t="s">
        <v>1635</v>
      </c>
      <c r="B159" s="101" t="s">
        <v>1625</v>
      </c>
      <c r="C159" s="101">
        <v>0.0</v>
      </c>
      <c r="D159" s="101">
        <v>0.0</v>
      </c>
      <c r="E159" s="101"/>
      <c r="F159" s="101"/>
      <c r="G159" s="101">
        <v>1000.0</v>
      </c>
      <c r="H159" s="101">
        <v>2500.0</v>
      </c>
      <c r="I159" s="101"/>
      <c r="J159" s="102"/>
      <c r="K159" s="136"/>
      <c r="L159" s="101"/>
      <c r="M159" s="102"/>
      <c r="N159" s="136"/>
      <c r="O159" s="101"/>
      <c r="P159" s="104"/>
      <c r="Q159" s="136"/>
      <c r="R159" s="102"/>
      <c r="S159" s="140"/>
      <c r="T159" s="101"/>
      <c r="U159" s="102"/>
      <c r="V159" s="140"/>
      <c r="W159" s="101"/>
      <c r="X159" s="102"/>
      <c r="Y159" s="140"/>
      <c r="Z159" s="101"/>
      <c r="AA159" s="102"/>
      <c r="AB159" s="141"/>
      <c r="AC159" s="101"/>
      <c r="AD159" s="102"/>
      <c r="AE159" s="134"/>
      <c r="AF159" s="134"/>
      <c r="AG159" s="134"/>
      <c r="AH159" s="134"/>
      <c r="AI159" s="134"/>
      <c r="AJ159" s="134"/>
      <c r="AK159" s="134"/>
    </row>
    <row r="160">
      <c r="A160" s="101" t="s">
        <v>1636</v>
      </c>
      <c r="B160" s="101" t="s">
        <v>1627</v>
      </c>
      <c r="C160" s="101">
        <v>0.0</v>
      </c>
      <c r="D160" s="101">
        <v>0.0</v>
      </c>
      <c r="E160" s="101"/>
      <c r="F160" s="101"/>
      <c r="G160" s="101">
        <v>3500.0</v>
      </c>
      <c r="H160" s="101">
        <v>6500.0</v>
      </c>
      <c r="I160" s="101"/>
      <c r="J160" s="102"/>
      <c r="K160" s="136"/>
      <c r="L160" s="101"/>
      <c r="M160" s="102"/>
      <c r="N160" s="136"/>
      <c r="O160" s="101"/>
      <c r="P160" s="104"/>
      <c r="Q160" s="136"/>
      <c r="R160" s="102"/>
      <c r="S160" s="140"/>
      <c r="T160" s="101"/>
      <c r="U160" s="102"/>
      <c r="V160" s="140"/>
      <c r="W160" s="101"/>
      <c r="X160" s="102"/>
      <c r="Y160" s="140"/>
      <c r="Z160" s="101"/>
      <c r="AA160" s="102"/>
      <c r="AB160" s="141"/>
      <c r="AC160" s="101"/>
      <c r="AD160" s="102"/>
      <c r="AE160" s="134"/>
      <c r="AF160" s="134"/>
      <c r="AG160" s="134"/>
      <c r="AH160" s="134"/>
      <c r="AI160" s="134"/>
      <c r="AJ160" s="134"/>
      <c r="AK160" s="134"/>
    </row>
    <row r="161">
      <c r="A161" s="135" t="s">
        <v>1647</v>
      </c>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5"/>
      <c r="AE161" s="134"/>
      <c r="AF161" s="134"/>
      <c r="AG161" s="134"/>
      <c r="AH161" s="134"/>
      <c r="AI161" s="134"/>
      <c r="AJ161" s="134"/>
      <c r="AK161" s="134"/>
    </row>
    <row r="162">
      <c r="A162" s="101" t="s">
        <v>1621</v>
      </c>
      <c r="B162" s="101" t="s">
        <v>1622</v>
      </c>
      <c r="C162" s="101">
        <f t="shared" ref="C162:C164" si="123">ROUND(C12*4.1,0)</f>
        <v>16</v>
      </c>
      <c r="D162" s="101">
        <v>0.0</v>
      </c>
      <c r="E162" s="101">
        <v>7.0</v>
      </c>
      <c r="F162" s="101">
        <v>8.0</v>
      </c>
      <c r="G162" s="102">
        <f t="shared" ref="G162:G172" si="124">E162*C162</f>
        <v>112</v>
      </c>
      <c r="H162" s="102">
        <f t="shared" ref="H162:H172" si="125">F162*C162</f>
        <v>128</v>
      </c>
      <c r="I162" s="101">
        <v>9.0</v>
      </c>
      <c r="J162" s="102">
        <f t="shared" ref="J162:J168" si="126">ROUNDDOWN(C162/I162,0)</f>
        <v>1</v>
      </c>
      <c r="K162" s="136">
        <f>IFERROR(__xludf.DUMMYFUNCTION("TO_PERCENT(C162/I162-J162)"),0.7777777777777777)</f>
        <v>0.7777777778</v>
      </c>
      <c r="L162" s="101">
        <v>500.0</v>
      </c>
      <c r="M162" s="102">
        <f t="shared" ref="M162:M168" si="127">ROUNDDOWN(C162/L162,0)</f>
        <v>0</v>
      </c>
      <c r="N162" s="136">
        <f>IFERROR(__xludf.DUMMYFUNCTION("TO_PERCENT(C162/L162-M162)"),0.032)</f>
        <v>0.032</v>
      </c>
      <c r="O162" s="101">
        <v>10000.0</v>
      </c>
      <c r="P162" s="102">
        <f t="shared" ref="P162:P168" si="128">ROUNDDOWN($C162*$AJ$16/$AG$16/O162,0)</f>
        <v>0</v>
      </c>
      <c r="Q162" s="136">
        <f>IFERROR(__xludf.DUMMYFUNCTION("TO_PERCENT($C162*$AJ$16/$AG$16/O162-P162)"),6.666666666666666E-4)</f>
        <v>0.0006666666667</v>
      </c>
      <c r="R162" s="136">
        <v>0.1</v>
      </c>
      <c r="S162" s="140">
        <f t="shared" ref="S162:S171" si="129">R162*(C162-J162-K162-M162-N162-P162-Q162)</f>
        <v>1.418955556</v>
      </c>
      <c r="T162" s="102"/>
      <c r="U162" s="136">
        <v>0.075</v>
      </c>
      <c r="V162" s="140">
        <f t="shared" ref="V162:V171" si="130">U162*(J162+K162)</f>
        <v>0.1333333333</v>
      </c>
      <c r="W162" s="102"/>
      <c r="X162" s="136">
        <v>0.075</v>
      </c>
      <c r="Y162" s="140">
        <f t="shared" ref="Y162:Y171" si="131">X162*(M162+N162)</f>
        <v>0.0024</v>
      </c>
      <c r="Z162" s="102"/>
      <c r="AA162" s="136">
        <v>0.25</v>
      </c>
      <c r="AB162" s="141">
        <f t="shared" ref="AB162:AB171" si="132">AA162*(P162+Q162)</f>
        <v>0.0001666666667</v>
      </c>
      <c r="AC162" s="102"/>
      <c r="AD162" s="102"/>
      <c r="AE162" s="134"/>
      <c r="AF162" s="134"/>
      <c r="AG162" s="134"/>
      <c r="AH162" s="134"/>
      <c r="AI162" s="134"/>
      <c r="AJ162" s="134"/>
      <c r="AK162" s="134"/>
    </row>
    <row r="163">
      <c r="A163" s="101" t="s">
        <v>1624</v>
      </c>
      <c r="B163" s="101" t="s">
        <v>1625</v>
      </c>
      <c r="C163" s="101">
        <f t="shared" si="123"/>
        <v>33</v>
      </c>
      <c r="D163" s="101">
        <v>0.0</v>
      </c>
      <c r="E163" s="101">
        <v>14.0</v>
      </c>
      <c r="F163" s="101">
        <v>16.0</v>
      </c>
      <c r="G163" s="102">
        <f t="shared" si="124"/>
        <v>462</v>
      </c>
      <c r="H163" s="102">
        <f t="shared" si="125"/>
        <v>528</v>
      </c>
      <c r="I163" s="101">
        <v>4.0</v>
      </c>
      <c r="J163" s="102">
        <f t="shared" si="126"/>
        <v>8</v>
      </c>
      <c r="K163" s="136">
        <f>IFERROR(__xludf.DUMMYFUNCTION("TO_PERCENT(C163/I163-J163)"),0.25)</f>
        <v>0.25</v>
      </c>
      <c r="L163" s="101">
        <v>200.0</v>
      </c>
      <c r="M163" s="102">
        <f t="shared" si="127"/>
        <v>0</v>
      </c>
      <c r="N163" s="136">
        <f>IFERROR(__xludf.DUMMYFUNCTION("TO_PERCENT(C163/L163-M163)"),0.165)</f>
        <v>0.165</v>
      </c>
      <c r="O163" s="101">
        <v>4000.0</v>
      </c>
      <c r="P163" s="102">
        <f t="shared" si="128"/>
        <v>0</v>
      </c>
      <c r="Q163" s="136">
        <f>IFERROR(__xludf.DUMMYFUNCTION("TO_PERCENT($C163*$AJ$16/$AG$16/O163-P163)"),0.0034375)</f>
        <v>0.0034375</v>
      </c>
      <c r="R163" s="136">
        <v>0.1</v>
      </c>
      <c r="S163" s="140">
        <f t="shared" si="129"/>
        <v>2.45815625</v>
      </c>
      <c r="T163" s="102"/>
      <c r="U163" s="136">
        <v>0.075</v>
      </c>
      <c r="V163" s="140">
        <f t="shared" si="130"/>
        <v>0.61875</v>
      </c>
      <c r="W163" s="102"/>
      <c r="X163" s="136">
        <v>0.075</v>
      </c>
      <c r="Y163" s="140">
        <f t="shared" si="131"/>
        <v>0.012375</v>
      </c>
      <c r="Z163" s="102"/>
      <c r="AA163" s="136">
        <v>0.25</v>
      </c>
      <c r="AB163" s="141">
        <f t="shared" si="132"/>
        <v>0.000859375</v>
      </c>
      <c r="AC163" s="102"/>
      <c r="AD163" s="102"/>
      <c r="AE163" s="134"/>
      <c r="AF163" s="134"/>
      <c r="AG163" s="134"/>
      <c r="AH163" s="134"/>
      <c r="AI163" s="134"/>
      <c r="AJ163" s="134"/>
      <c r="AK163" s="134"/>
    </row>
    <row r="164">
      <c r="A164" s="101" t="s">
        <v>1626</v>
      </c>
      <c r="B164" s="101" t="s">
        <v>1627</v>
      </c>
      <c r="C164" s="101">
        <f t="shared" si="123"/>
        <v>82</v>
      </c>
      <c r="D164" s="101">
        <v>0.0</v>
      </c>
      <c r="E164" s="101">
        <v>16.0</v>
      </c>
      <c r="F164" s="101">
        <v>16.0</v>
      </c>
      <c r="G164" s="102">
        <f t="shared" si="124"/>
        <v>1312</v>
      </c>
      <c r="H164" s="102">
        <f t="shared" si="125"/>
        <v>1312</v>
      </c>
      <c r="I164" s="101">
        <v>5.0</v>
      </c>
      <c r="J164" s="102">
        <f t="shared" si="126"/>
        <v>16</v>
      </c>
      <c r="K164" s="136">
        <f>IFERROR(__xludf.DUMMYFUNCTION("TO_PERCENT(C164/I164-J164)"),0.3999999999999986)</f>
        <v>0.4</v>
      </c>
      <c r="L164" s="101">
        <v>10.0</v>
      </c>
      <c r="M164" s="102">
        <f t="shared" si="127"/>
        <v>8</v>
      </c>
      <c r="N164" s="136">
        <f>IFERROR(__xludf.DUMMYFUNCTION("TO_PERCENT(C164/L164-M164)"),0.1999999999999993)</f>
        <v>0.2</v>
      </c>
      <c r="O164" s="101">
        <v>300.0</v>
      </c>
      <c r="P164" s="102">
        <f t="shared" si="128"/>
        <v>0</v>
      </c>
      <c r="Q164" s="136">
        <f>IFERROR(__xludf.DUMMYFUNCTION("TO_PERCENT($C164*$AJ$16/$AG$16/O164-P164)"),0.11388888888888889)</f>
        <v>0.1138888889</v>
      </c>
      <c r="R164" s="136">
        <v>0.1</v>
      </c>
      <c r="S164" s="140">
        <f t="shared" si="129"/>
        <v>5.728611111</v>
      </c>
      <c r="T164" s="102"/>
      <c r="U164" s="136">
        <v>0.075</v>
      </c>
      <c r="V164" s="140">
        <f t="shared" si="130"/>
        <v>1.23</v>
      </c>
      <c r="W164" s="102"/>
      <c r="X164" s="136">
        <v>0.075</v>
      </c>
      <c r="Y164" s="140">
        <f t="shared" si="131"/>
        <v>0.615</v>
      </c>
      <c r="Z164" s="102"/>
      <c r="AA164" s="136">
        <v>0.25</v>
      </c>
      <c r="AB164" s="141">
        <f t="shared" si="132"/>
        <v>0.02847222222</v>
      </c>
      <c r="AC164" s="102"/>
      <c r="AD164" s="102"/>
      <c r="AE164" s="134"/>
      <c r="AF164" s="134"/>
      <c r="AG164" s="134"/>
      <c r="AH164" s="134"/>
      <c r="AI164" s="134"/>
      <c r="AJ164" s="134"/>
      <c r="AK164" s="134"/>
    </row>
    <row r="165">
      <c r="A165" s="101" t="s">
        <v>1628</v>
      </c>
      <c r="B165" s="103"/>
      <c r="C165" s="101">
        <v>13.0</v>
      </c>
      <c r="D165" s="101">
        <v>0.0</v>
      </c>
      <c r="E165" s="101">
        <v>7.0</v>
      </c>
      <c r="F165" s="101">
        <v>8.0</v>
      </c>
      <c r="G165" s="102">
        <f t="shared" si="124"/>
        <v>91</v>
      </c>
      <c r="H165" s="102">
        <f t="shared" si="125"/>
        <v>104</v>
      </c>
      <c r="I165" s="101">
        <v>10.0</v>
      </c>
      <c r="J165" s="102">
        <f t="shared" si="126"/>
        <v>1</v>
      </c>
      <c r="K165" s="136">
        <f>IFERROR(__xludf.DUMMYFUNCTION("TO_PERCENT(C165/I165-J165)"),0.30000000000000004)</f>
        <v>0.3</v>
      </c>
      <c r="L165" s="101">
        <v>200.0</v>
      </c>
      <c r="M165" s="102">
        <f t="shared" si="127"/>
        <v>0</v>
      </c>
      <c r="N165" s="136">
        <f>IFERROR(__xludf.DUMMYFUNCTION("TO_PERCENT(C165/L165-M165)"),0.065)</f>
        <v>0.065</v>
      </c>
      <c r="O165" s="101">
        <v>4000.0</v>
      </c>
      <c r="P165" s="102">
        <f t="shared" si="128"/>
        <v>0</v>
      </c>
      <c r="Q165" s="136">
        <f>IFERROR(__xludf.DUMMYFUNCTION("TO_PERCENT($C165*$AJ$16/$AG$16/O165-P165)"),0.0013541666666666667)</f>
        <v>0.001354166667</v>
      </c>
      <c r="R165" s="136">
        <v>0.1</v>
      </c>
      <c r="S165" s="140">
        <f t="shared" si="129"/>
        <v>1.163364583</v>
      </c>
      <c r="T165" s="102"/>
      <c r="U165" s="136">
        <v>0.075</v>
      </c>
      <c r="V165" s="140">
        <f t="shared" si="130"/>
        <v>0.0975</v>
      </c>
      <c r="W165" s="102"/>
      <c r="X165" s="136">
        <v>0.075</v>
      </c>
      <c r="Y165" s="140">
        <f t="shared" si="131"/>
        <v>0.004875</v>
      </c>
      <c r="Z165" s="102"/>
      <c r="AA165" s="136">
        <v>0.25</v>
      </c>
      <c r="AB165" s="141">
        <f t="shared" si="132"/>
        <v>0.0003385416667</v>
      </c>
      <c r="AC165" s="102"/>
      <c r="AD165" s="102"/>
      <c r="AE165" s="134"/>
      <c r="AF165" s="134"/>
      <c r="AG165" s="134"/>
      <c r="AH165" s="134"/>
      <c r="AI165" s="134"/>
      <c r="AJ165" s="134"/>
      <c r="AK165" s="134"/>
    </row>
    <row r="166">
      <c r="A166" s="101" t="s">
        <v>1629</v>
      </c>
      <c r="B166" s="103"/>
      <c r="C166" s="101">
        <f t="shared" ref="C166:C168" si="133">ROUND(C16*4.1,0)</f>
        <v>66</v>
      </c>
      <c r="D166" s="101">
        <v>0.0</v>
      </c>
      <c r="E166" s="101">
        <v>14.0</v>
      </c>
      <c r="F166" s="101">
        <v>16.0</v>
      </c>
      <c r="G166" s="102">
        <f t="shared" si="124"/>
        <v>924</v>
      </c>
      <c r="H166" s="102">
        <f t="shared" si="125"/>
        <v>1056</v>
      </c>
      <c r="I166" s="101">
        <v>6.0</v>
      </c>
      <c r="J166" s="102">
        <f t="shared" si="126"/>
        <v>11</v>
      </c>
      <c r="K166" s="136">
        <f>IFERROR(__xludf.DUMMYFUNCTION("TO_PERCENT(C166/I166-J166)"),0.0)</f>
        <v>0</v>
      </c>
      <c r="L166" s="101">
        <v>120.0</v>
      </c>
      <c r="M166" s="102">
        <f t="shared" si="127"/>
        <v>0</v>
      </c>
      <c r="N166" s="136">
        <f>IFERROR(__xludf.DUMMYFUNCTION("TO_PERCENT(C166/L166-M166)"),0.55)</f>
        <v>0.55</v>
      </c>
      <c r="O166" s="101">
        <v>2400.0</v>
      </c>
      <c r="P166" s="102">
        <f t="shared" si="128"/>
        <v>0</v>
      </c>
      <c r="Q166" s="136">
        <f>IFERROR(__xludf.DUMMYFUNCTION("TO_PERCENT($C166*$AJ$16/$AG$16/O166-P166)"),0.011458333333333333)</f>
        <v>0.01145833333</v>
      </c>
      <c r="R166" s="136">
        <v>0.1</v>
      </c>
      <c r="S166" s="140">
        <f t="shared" si="129"/>
        <v>5.443854167</v>
      </c>
      <c r="T166" s="102"/>
      <c r="U166" s="136">
        <v>0.075</v>
      </c>
      <c r="V166" s="140">
        <f t="shared" si="130"/>
        <v>0.825</v>
      </c>
      <c r="W166" s="102"/>
      <c r="X166" s="136">
        <v>0.075</v>
      </c>
      <c r="Y166" s="140">
        <f t="shared" si="131"/>
        <v>0.04125</v>
      </c>
      <c r="Z166" s="102"/>
      <c r="AA166" s="136">
        <v>0.25</v>
      </c>
      <c r="AB166" s="141">
        <f t="shared" si="132"/>
        <v>0.002864583333</v>
      </c>
      <c r="AC166" s="102"/>
      <c r="AD166" s="102"/>
      <c r="AE166" s="134"/>
      <c r="AF166" s="134"/>
      <c r="AG166" s="134"/>
      <c r="AH166" s="134"/>
      <c r="AI166" s="134"/>
      <c r="AJ166" s="134"/>
      <c r="AK166" s="134"/>
    </row>
    <row r="167">
      <c r="A167" s="101" t="s">
        <v>107</v>
      </c>
      <c r="B167" s="101" t="s">
        <v>1627</v>
      </c>
      <c r="C167" s="101">
        <f t="shared" si="133"/>
        <v>287</v>
      </c>
      <c r="D167" s="101">
        <v>0.0</v>
      </c>
      <c r="E167" s="101">
        <v>9.0</v>
      </c>
      <c r="F167" s="101">
        <v>9.0</v>
      </c>
      <c r="G167" s="102">
        <f t="shared" si="124"/>
        <v>2583</v>
      </c>
      <c r="H167" s="102">
        <f t="shared" si="125"/>
        <v>2583</v>
      </c>
      <c r="I167" s="101">
        <v>5.0</v>
      </c>
      <c r="J167" s="102">
        <f t="shared" si="126"/>
        <v>57</v>
      </c>
      <c r="K167" s="136">
        <f>IFERROR(__xludf.DUMMYFUNCTION("TO_PERCENT(C167/I167-J167)"),0.3999999999999986)</f>
        <v>0.4</v>
      </c>
      <c r="L167" s="101">
        <v>500.0</v>
      </c>
      <c r="M167" s="102">
        <f t="shared" si="127"/>
        <v>0</v>
      </c>
      <c r="N167" s="136">
        <f>IFERROR(__xludf.DUMMYFUNCTION("TO_PERCENT(C167/L167-M167)"),0.574)</f>
        <v>0.574</v>
      </c>
      <c r="O167" s="101">
        <v>10000.0</v>
      </c>
      <c r="P167" s="102">
        <f t="shared" si="128"/>
        <v>0</v>
      </c>
      <c r="Q167" s="136">
        <f>IFERROR(__xludf.DUMMYFUNCTION("TO_PERCENT($C167*$AJ$16/$AG$16/O167-P167)"),0.011958333333333333)</f>
        <v>0.01195833333</v>
      </c>
      <c r="R167" s="136">
        <v>0.1</v>
      </c>
      <c r="S167" s="140">
        <f t="shared" si="129"/>
        <v>22.90140417</v>
      </c>
      <c r="T167" s="102"/>
      <c r="U167" s="136">
        <v>0.075</v>
      </c>
      <c r="V167" s="140">
        <f t="shared" si="130"/>
        <v>4.305</v>
      </c>
      <c r="W167" s="102"/>
      <c r="X167" s="136">
        <v>0.075</v>
      </c>
      <c r="Y167" s="140">
        <f t="shared" si="131"/>
        <v>0.04305</v>
      </c>
      <c r="Z167" s="102"/>
      <c r="AA167" s="136">
        <v>0.25</v>
      </c>
      <c r="AB167" s="141">
        <f t="shared" si="132"/>
        <v>0.002989583333</v>
      </c>
      <c r="AC167" s="102"/>
      <c r="AD167" s="102"/>
      <c r="AE167" s="134"/>
      <c r="AF167" s="134"/>
      <c r="AG167" s="134"/>
      <c r="AH167" s="134"/>
      <c r="AI167" s="134"/>
      <c r="AJ167" s="134"/>
      <c r="AK167" s="134"/>
    </row>
    <row r="168">
      <c r="A168" s="101" t="s">
        <v>1630</v>
      </c>
      <c r="B168" s="101" t="s">
        <v>1631</v>
      </c>
      <c r="C168" s="101">
        <f t="shared" si="133"/>
        <v>738</v>
      </c>
      <c r="D168" s="101">
        <v>8.0</v>
      </c>
      <c r="E168" s="101">
        <v>9.0</v>
      </c>
      <c r="F168" s="101">
        <v>9.0</v>
      </c>
      <c r="G168" s="102">
        <f t="shared" si="124"/>
        <v>6642</v>
      </c>
      <c r="H168" s="102">
        <f t="shared" si="125"/>
        <v>6642</v>
      </c>
      <c r="I168" s="101">
        <v>5.0</v>
      </c>
      <c r="J168" s="102">
        <f t="shared" si="126"/>
        <v>147</v>
      </c>
      <c r="K168" s="136">
        <f>IFERROR(__xludf.DUMMYFUNCTION("TO_PERCENT(C168/I168-J168)"),0.5999999999999943)</f>
        <v>0.6</v>
      </c>
      <c r="L168" s="101">
        <v>30.0</v>
      </c>
      <c r="M168" s="102">
        <f t="shared" si="127"/>
        <v>24</v>
      </c>
      <c r="N168" s="136">
        <f>IFERROR(__xludf.DUMMYFUNCTION("TO_PERCENT(C168/L168-M168)"),0.6000000000000014)</f>
        <v>0.6</v>
      </c>
      <c r="O168" s="101">
        <v>600.0</v>
      </c>
      <c r="P168" s="102">
        <f t="shared" si="128"/>
        <v>0</v>
      </c>
      <c r="Q168" s="136">
        <f>IFERROR(__xludf.DUMMYFUNCTION("TO_PERCENT($C168*$AJ$16/$AG$16/O168-P168)"),0.5125)</f>
        <v>0.5125</v>
      </c>
      <c r="R168" s="136">
        <v>0.1</v>
      </c>
      <c r="S168" s="140">
        <f t="shared" si="129"/>
        <v>56.52875</v>
      </c>
      <c r="T168" s="102"/>
      <c r="U168" s="136">
        <v>0.075</v>
      </c>
      <c r="V168" s="140">
        <f t="shared" si="130"/>
        <v>11.07</v>
      </c>
      <c r="W168" s="102"/>
      <c r="X168" s="136">
        <v>0.075</v>
      </c>
      <c r="Y168" s="140">
        <f t="shared" si="131"/>
        <v>1.845</v>
      </c>
      <c r="Z168" s="102"/>
      <c r="AA168" s="136">
        <v>0.25</v>
      </c>
      <c r="AB168" s="141">
        <f t="shared" si="132"/>
        <v>0.128125</v>
      </c>
      <c r="AC168" s="102"/>
      <c r="AD168" s="102"/>
      <c r="AE168" s="134"/>
      <c r="AF168" s="134"/>
      <c r="AG168" s="134"/>
      <c r="AH168" s="134"/>
      <c r="AI168" s="134"/>
      <c r="AJ168" s="134"/>
      <c r="AK168" s="134"/>
    </row>
    <row r="169">
      <c r="A169" s="101" t="s">
        <v>131</v>
      </c>
      <c r="B169" s="101" t="s">
        <v>1627</v>
      </c>
      <c r="C169" s="101">
        <v>20.0</v>
      </c>
      <c r="D169" s="101">
        <v>0.0</v>
      </c>
      <c r="E169" s="101">
        <v>0.0</v>
      </c>
      <c r="F169" s="101">
        <v>0.0</v>
      </c>
      <c r="G169" s="102">
        <f t="shared" si="124"/>
        <v>0</v>
      </c>
      <c r="H169" s="102">
        <f t="shared" si="125"/>
        <v>0</v>
      </c>
      <c r="I169" s="104">
        <v>0.0</v>
      </c>
      <c r="J169" s="101">
        <v>0.0</v>
      </c>
      <c r="K169" s="136">
        <v>0.0</v>
      </c>
      <c r="L169" s="101">
        <v>1.0</v>
      </c>
      <c r="M169" s="101">
        <v>20.0</v>
      </c>
      <c r="N169" s="136">
        <v>0.0</v>
      </c>
      <c r="O169" s="104">
        <v>0.0</v>
      </c>
      <c r="P169" s="101">
        <v>0.0</v>
      </c>
      <c r="Q169" s="136">
        <v>0.0</v>
      </c>
      <c r="R169" s="136">
        <v>0.1</v>
      </c>
      <c r="S169" s="140">
        <f t="shared" si="129"/>
        <v>0</v>
      </c>
      <c r="T169" s="102"/>
      <c r="U169" s="136">
        <v>0.075</v>
      </c>
      <c r="V169" s="140">
        <f t="shared" si="130"/>
        <v>0</v>
      </c>
      <c r="W169" s="102"/>
      <c r="X169" s="136">
        <v>0.075</v>
      </c>
      <c r="Y169" s="140">
        <f t="shared" si="131"/>
        <v>1.5</v>
      </c>
      <c r="Z169" s="102"/>
      <c r="AA169" s="136">
        <v>0.25</v>
      </c>
      <c r="AB169" s="141">
        <f t="shared" si="132"/>
        <v>0</v>
      </c>
      <c r="AC169" s="102"/>
      <c r="AD169" s="102"/>
      <c r="AE169" s="134"/>
      <c r="AF169" s="134"/>
      <c r="AG169" s="134"/>
      <c r="AH169" s="134"/>
      <c r="AI169" s="134"/>
      <c r="AJ169" s="134"/>
      <c r="AK169" s="134"/>
    </row>
    <row r="170">
      <c r="A170" s="101" t="s">
        <v>223</v>
      </c>
      <c r="B170" s="101"/>
      <c r="C170" s="101">
        <v>121.0</v>
      </c>
      <c r="D170" s="101">
        <v>5.0</v>
      </c>
      <c r="E170" s="101">
        <v>5.0</v>
      </c>
      <c r="F170" s="101">
        <v>5.0</v>
      </c>
      <c r="G170" s="102">
        <f t="shared" si="124"/>
        <v>605</v>
      </c>
      <c r="H170" s="102">
        <f t="shared" si="125"/>
        <v>605</v>
      </c>
      <c r="I170" s="101">
        <v>6.0</v>
      </c>
      <c r="J170" s="102">
        <f t="shared" ref="J170:J172" si="134">ROUNDDOWN(C170/I170,0)</f>
        <v>20</v>
      </c>
      <c r="K170" s="136">
        <f>IFERROR(__xludf.DUMMYFUNCTION("TO_PERCENT(C170/I170-J170)"),0.16666666666666785)</f>
        <v>0.1666666667</v>
      </c>
      <c r="L170" s="101">
        <v>50.0</v>
      </c>
      <c r="M170" s="102">
        <f t="shared" ref="M170:M172" si="135">ROUNDDOWN(C170/L170,0)</f>
        <v>2</v>
      </c>
      <c r="N170" s="136">
        <f>IFERROR(__xludf.DUMMYFUNCTION("TO_PERCENT(C170/L170-M170)"),0.41999999999999993)</f>
        <v>0.42</v>
      </c>
      <c r="O170" s="101">
        <v>8000.0</v>
      </c>
      <c r="P170" s="102">
        <f>ROUNDDOWN($C170*$AJ$16/$AG$16/O170,0)</f>
        <v>0</v>
      </c>
      <c r="Q170" s="136">
        <f>IFERROR(__xludf.DUMMYFUNCTION("TO_PERCENT($C170*$AJ$16/$AG$16/O170-P170)"),0.006302083333333333)</f>
        <v>0.006302083333</v>
      </c>
      <c r="R170" s="136">
        <v>0.1</v>
      </c>
      <c r="S170" s="140">
        <f t="shared" si="129"/>
        <v>9.840703125</v>
      </c>
      <c r="T170" s="102"/>
      <c r="U170" s="136">
        <v>0.075</v>
      </c>
      <c r="V170" s="140">
        <f t="shared" si="130"/>
        <v>1.5125</v>
      </c>
      <c r="W170" s="102"/>
      <c r="X170" s="136">
        <v>0.075</v>
      </c>
      <c r="Y170" s="140">
        <f t="shared" si="131"/>
        <v>0.1815</v>
      </c>
      <c r="Z170" s="102"/>
      <c r="AA170" s="136">
        <v>0.25</v>
      </c>
      <c r="AB170" s="141">
        <f t="shared" si="132"/>
        <v>0.001575520833</v>
      </c>
      <c r="AC170" s="102"/>
      <c r="AD170" s="102"/>
      <c r="AE170" s="134"/>
      <c r="AF170" s="134"/>
      <c r="AG170" s="134"/>
      <c r="AH170" s="134"/>
      <c r="AI170" s="134"/>
      <c r="AJ170" s="134"/>
      <c r="AK170" s="134"/>
    </row>
    <row r="171">
      <c r="A171" s="101" t="s">
        <v>1632</v>
      </c>
      <c r="B171" s="101"/>
      <c r="C171" s="101">
        <v>242.0</v>
      </c>
      <c r="D171" s="101">
        <v>0.0</v>
      </c>
      <c r="E171" s="101">
        <v>7.0</v>
      </c>
      <c r="F171" s="101">
        <v>7.0</v>
      </c>
      <c r="G171" s="102">
        <f t="shared" si="124"/>
        <v>1694</v>
      </c>
      <c r="H171" s="102">
        <f t="shared" si="125"/>
        <v>1694</v>
      </c>
      <c r="I171" s="101">
        <v>5.0</v>
      </c>
      <c r="J171" s="102">
        <f t="shared" si="134"/>
        <v>48</v>
      </c>
      <c r="K171" s="136">
        <f>IFERROR(__xludf.DUMMYFUNCTION("TO_PERCENT(C171/I171-J171)"),0.3999999999999986)</f>
        <v>0.4</v>
      </c>
      <c r="L171" s="101">
        <v>30.0</v>
      </c>
      <c r="M171" s="102">
        <f t="shared" si="135"/>
        <v>8</v>
      </c>
      <c r="N171" s="136">
        <f>IFERROR(__xludf.DUMMYFUNCTION("TO_PERCENT(C171/L171-M171)"),0.06666666666666643)</f>
        <v>0.06666666667</v>
      </c>
      <c r="O171" s="101">
        <v>1600.0</v>
      </c>
      <c r="P171" s="104">
        <v>0.0</v>
      </c>
      <c r="Q171" s="136">
        <v>0.1</v>
      </c>
      <c r="R171" s="136">
        <v>0.1</v>
      </c>
      <c r="S171" s="140">
        <f t="shared" si="129"/>
        <v>18.54333333</v>
      </c>
      <c r="T171" s="102"/>
      <c r="U171" s="136">
        <v>0.075</v>
      </c>
      <c r="V171" s="140">
        <f t="shared" si="130"/>
        <v>3.63</v>
      </c>
      <c r="W171" s="102"/>
      <c r="X171" s="136">
        <v>0.075</v>
      </c>
      <c r="Y171" s="140">
        <f t="shared" si="131"/>
        <v>0.605</v>
      </c>
      <c r="Z171" s="102"/>
      <c r="AA171" s="136">
        <v>0.25</v>
      </c>
      <c r="AB171" s="141">
        <f t="shared" si="132"/>
        <v>0.025</v>
      </c>
      <c r="AC171" s="102"/>
      <c r="AD171" s="102"/>
      <c r="AE171" s="134"/>
      <c r="AF171" s="134"/>
      <c r="AG171" s="134"/>
      <c r="AH171" s="134"/>
      <c r="AI171" s="134"/>
      <c r="AJ171" s="134"/>
      <c r="AK171" s="134"/>
    </row>
    <row r="172">
      <c r="A172" s="101" t="s">
        <v>1643</v>
      </c>
      <c r="B172" s="101"/>
      <c r="C172" s="101">
        <v>340.0</v>
      </c>
      <c r="D172" s="101">
        <v>0.0</v>
      </c>
      <c r="E172" s="101">
        <v>12.0</v>
      </c>
      <c r="F172" s="101">
        <v>12.0</v>
      </c>
      <c r="G172" s="102">
        <f t="shared" si="124"/>
        <v>4080</v>
      </c>
      <c r="H172" s="102">
        <f t="shared" si="125"/>
        <v>4080</v>
      </c>
      <c r="I172" s="101">
        <v>5.0</v>
      </c>
      <c r="J172" s="102">
        <f t="shared" si="134"/>
        <v>68</v>
      </c>
      <c r="K172" s="136">
        <f>IFERROR(__xludf.DUMMYFUNCTION("TO_PERCENT(C172/I172-J172)"),0.0)</f>
        <v>0</v>
      </c>
      <c r="L172" s="101">
        <v>15.0</v>
      </c>
      <c r="M172" s="102">
        <f t="shared" si="135"/>
        <v>22</v>
      </c>
      <c r="N172" s="136">
        <f>IFERROR(__xludf.DUMMYFUNCTION("TO_PERCENT(C172/L172-M172)"),0.6666666666666679)</f>
        <v>0.6666666667</v>
      </c>
      <c r="O172" s="101">
        <v>400.0</v>
      </c>
      <c r="P172" s="104">
        <v>1.0</v>
      </c>
      <c r="Q172" s="136">
        <v>0.0</v>
      </c>
      <c r="R172" s="102"/>
      <c r="S172" s="140"/>
      <c r="T172" s="101">
        <v>62.0</v>
      </c>
      <c r="U172" s="102"/>
      <c r="V172" s="140"/>
      <c r="W172" s="101">
        <v>17.0</v>
      </c>
      <c r="X172" s="102"/>
      <c r="Y172" s="140"/>
      <c r="Z172" s="101">
        <v>6.0</v>
      </c>
      <c r="AA172" s="102"/>
      <c r="AB172" s="141"/>
      <c r="AC172" s="101">
        <v>1.0</v>
      </c>
      <c r="AD172" s="102"/>
      <c r="AE172" s="134"/>
      <c r="AF172" s="134"/>
      <c r="AG172" s="134"/>
      <c r="AH172" s="134"/>
      <c r="AI172" s="134"/>
      <c r="AJ172" s="134"/>
      <c r="AK172" s="134"/>
    </row>
    <row r="173">
      <c r="A173" s="101" t="s">
        <v>1634</v>
      </c>
      <c r="B173" s="101" t="s">
        <v>1622</v>
      </c>
      <c r="C173" s="101">
        <v>0.0</v>
      </c>
      <c r="D173" s="101">
        <v>0.0</v>
      </c>
      <c r="E173" s="101"/>
      <c r="F173" s="101"/>
      <c r="G173" s="101">
        <v>500.0</v>
      </c>
      <c r="H173" s="101">
        <v>1000.0</v>
      </c>
      <c r="I173" s="101"/>
      <c r="J173" s="102"/>
      <c r="K173" s="136"/>
      <c r="L173" s="101"/>
      <c r="M173" s="102"/>
      <c r="N173" s="136"/>
      <c r="O173" s="101"/>
      <c r="P173" s="104"/>
      <c r="Q173" s="136"/>
      <c r="R173" s="102"/>
      <c r="S173" s="140"/>
      <c r="T173" s="101"/>
      <c r="U173" s="102"/>
      <c r="V173" s="140"/>
      <c r="W173" s="101"/>
      <c r="X173" s="102"/>
      <c r="Y173" s="140"/>
      <c r="Z173" s="101"/>
      <c r="AA173" s="102"/>
      <c r="AB173" s="141"/>
      <c r="AC173" s="101"/>
      <c r="AD173" s="102"/>
      <c r="AE173" s="134"/>
      <c r="AF173" s="134"/>
      <c r="AG173" s="134"/>
      <c r="AH173" s="134"/>
      <c r="AI173" s="134"/>
      <c r="AJ173" s="134"/>
      <c r="AK173" s="134"/>
    </row>
    <row r="174">
      <c r="A174" s="101" t="s">
        <v>1635</v>
      </c>
      <c r="B174" s="101" t="s">
        <v>1625</v>
      </c>
      <c r="C174" s="101">
        <v>0.0</v>
      </c>
      <c r="D174" s="101">
        <v>0.0</v>
      </c>
      <c r="E174" s="101"/>
      <c r="F174" s="101"/>
      <c r="G174" s="101">
        <v>1000.0</v>
      </c>
      <c r="H174" s="101">
        <v>2500.0</v>
      </c>
      <c r="I174" s="101"/>
      <c r="J174" s="102"/>
      <c r="K174" s="136"/>
      <c r="L174" s="101"/>
      <c r="M174" s="102"/>
      <c r="N174" s="136"/>
      <c r="O174" s="101"/>
      <c r="P174" s="104"/>
      <c r="Q174" s="136"/>
      <c r="R174" s="102"/>
      <c r="S174" s="140"/>
      <c r="T174" s="101"/>
      <c r="U174" s="102"/>
      <c r="V174" s="140"/>
      <c r="W174" s="101"/>
      <c r="X174" s="102"/>
      <c r="Y174" s="140"/>
      <c r="Z174" s="101"/>
      <c r="AA174" s="102"/>
      <c r="AB174" s="141"/>
      <c r="AC174" s="101"/>
      <c r="AD174" s="102"/>
      <c r="AE174" s="134"/>
      <c r="AF174" s="134"/>
      <c r="AG174" s="134"/>
      <c r="AH174" s="134"/>
      <c r="AI174" s="134"/>
      <c r="AJ174" s="134"/>
      <c r="AK174" s="134"/>
    </row>
    <row r="175">
      <c r="A175" s="101" t="s">
        <v>1636</v>
      </c>
      <c r="B175" s="101" t="s">
        <v>1627</v>
      </c>
      <c r="C175" s="101">
        <v>0.0</v>
      </c>
      <c r="D175" s="101">
        <v>0.0</v>
      </c>
      <c r="E175" s="101"/>
      <c r="F175" s="101"/>
      <c r="G175" s="101">
        <v>3500.0</v>
      </c>
      <c r="H175" s="101">
        <v>6500.0</v>
      </c>
      <c r="I175" s="101"/>
      <c r="J175" s="102"/>
      <c r="K175" s="136"/>
      <c r="L175" s="101"/>
      <c r="M175" s="102"/>
      <c r="N175" s="136"/>
      <c r="O175" s="101"/>
      <c r="P175" s="104"/>
      <c r="Q175" s="136"/>
      <c r="R175" s="102"/>
      <c r="S175" s="140"/>
      <c r="T175" s="101"/>
      <c r="U175" s="102"/>
      <c r="V175" s="140"/>
      <c r="W175" s="101"/>
      <c r="X175" s="102"/>
      <c r="Y175" s="140"/>
      <c r="Z175" s="101"/>
      <c r="AA175" s="102"/>
      <c r="AB175" s="141"/>
      <c r="AC175" s="101"/>
      <c r="AD175" s="102"/>
      <c r="AE175" s="134"/>
      <c r="AF175" s="134"/>
      <c r="AG175" s="134"/>
      <c r="AH175" s="134"/>
      <c r="AI175" s="134"/>
      <c r="AJ175" s="134"/>
      <c r="AK175" s="134"/>
    </row>
    <row r="176">
      <c r="A176" s="135" t="s">
        <v>1648</v>
      </c>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5"/>
      <c r="AE176" s="134"/>
      <c r="AF176" s="134"/>
      <c r="AG176" s="134"/>
      <c r="AH176" s="134"/>
      <c r="AI176" s="134"/>
      <c r="AJ176" s="134"/>
      <c r="AK176" s="134"/>
    </row>
    <row r="177">
      <c r="A177" s="101" t="s">
        <v>1621</v>
      </c>
      <c r="B177" s="101" t="s">
        <v>1622</v>
      </c>
      <c r="C177" s="101">
        <f t="shared" ref="C177:C179" si="136">ROUND(C12*4.4,0)</f>
        <v>18</v>
      </c>
      <c r="D177" s="101">
        <v>0.0</v>
      </c>
      <c r="E177" s="101">
        <v>7.0</v>
      </c>
      <c r="F177" s="101">
        <v>8.0</v>
      </c>
      <c r="G177" s="102">
        <f t="shared" ref="G177:G187" si="137">E177*C177</f>
        <v>126</v>
      </c>
      <c r="H177" s="102">
        <f t="shared" ref="H177:H187" si="138">F177*C177</f>
        <v>144</v>
      </c>
      <c r="I177" s="101">
        <v>9.0</v>
      </c>
      <c r="J177" s="102">
        <f t="shared" ref="J177:J183" si="139">ROUNDDOWN(C177/I177,0)</f>
        <v>2</v>
      </c>
      <c r="K177" s="136">
        <f>IFERROR(__xludf.DUMMYFUNCTION("TO_PERCENT(C177/I177-J177)"),0.0)</f>
        <v>0</v>
      </c>
      <c r="L177" s="101">
        <v>500.0</v>
      </c>
      <c r="M177" s="102">
        <f t="shared" ref="M177:M183" si="140">ROUNDDOWN(C177/L177,0)</f>
        <v>0</v>
      </c>
      <c r="N177" s="136">
        <f>IFERROR(__xludf.DUMMYFUNCTION("TO_PERCENT(C177/L177-M177)"),0.036)</f>
        <v>0.036</v>
      </c>
      <c r="O177" s="101">
        <v>10000.0</v>
      </c>
      <c r="P177" s="102">
        <f t="shared" ref="P177:P183" si="141">ROUNDDOWN($C177*$AJ$17/$AG$17/O177,0)</f>
        <v>0</v>
      </c>
      <c r="Q177" s="136">
        <f>IFERROR(__xludf.DUMMYFUNCTION("TO_PERCENT($C177*$AJ$17/$AG$17/O177-P177)"),8.640000000000001E-4)</f>
        <v>0.000864</v>
      </c>
      <c r="R177" s="136">
        <v>0.1</v>
      </c>
      <c r="S177" s="140">
        <f t="shared" ref="S177:S186" si="142">R177*(C177-J177-K177-M177-N177-P177-Q177)</f>
        <v>1.5963136</v>
      </c>
      <c r="T177" s="102"/>
      <c r="U177" s="136">
        <v>0.075</v>
      </c>
      <c r="V177" s="140">
        <f t="shared" ref="V177:V186" si="143">U177*(J177+K177)</f>
        <v>0.15</v>
      </c>
      <c r="W177" s="102"/>
      <c r="X177" s="136">
        <v>0.075</v>
      </c>
      <c r="Y177" s="140">
        <f t="shared" ref="Y177:Y186" si="144">X177*(M177+N177)</f>
        <v>0.0027</v>
      </c>
      <c r="Z177" s="102"/>
      <c r="AA177" s="136">
        <v>0.25</v>
      </c>
      <c r="AB177" s="141">
        <f t="shared" ref="AB177:AB186" si="145">AA177*(P177+Q177)</f>
        <v>0.000216</v>
      </c>
      <c r="AC177" s="102"/>
      <c r="AD177" s="102"/>
      <c r="AE177" s="134"/>
      <c r="AF177" s="134"/>
      <c r="AG177" s="134"/>
      <c r="AH177" s="134"/>
      <c r="AI177" s="134"/>
      <c r="AJ177" s="134"/>
      <c r="AK177" s="134"/>
    </row>
    <row r="178">
      <c r="A178" s="101" t="s">
        <v>1624</v>
      </c>
      <c r="B178" s="101" t="s">
        <v>1625</v>
      </c>
      <c r="C178" s="101">
        <f t="shared" si="136"/>
        <v>35</v>
      </c>
      <c r="D178" s="101">
        <v>0.0</v>
      </c>
      <c r="E178" s="101">
        <v>14.0</v>
      </c>
      <c r="F178" s="101">
        <v>16.0</v>
      </c>
      <c r="G178" s="102">
        <f t="shared" si="137"/>
        <v>490</v>
      </c>
      <c r="H178" s="102">
        <f t="shared" si="138"/>
        <v>560</v>
      </c>
      <c r="I178" s="101">
        <v>4.0</v>
      </c>
      <c r="J178" s="102">
        <f t="shared" si="139"/>
        <v>8</v>
      </c>
      <c r="K178" s="136">
        <f>IFERROR(__xludf.DUMMYFUNCTION("TO_PERCENT(C178/I178-J178)"),0.75)</f>
        <v>0.75</v>
      </c>
      <c r="L178" s="101">
        <v>200.0</v>
      </c>
      <c r="M178" s="102">
        <f t="shared" si="140"/>
        <v>0</v>
      </c>
      <c r="N178" s="136">
        <f>IFERROR(__xludf.DUMMYFUNCTION("TO_PERCENT(C178/L178-M178)"),0.175)</f>
        <v>0.175</v>
      </c>
      <c r="O178" s="101">
        <v>4000.0</v>
      </c>
      <c r="P178" s="102">
        <f t="shared" si="141"/>
        <v>0</v>
      </c>
      <c r="Q178" s="136">
        <f>IFERROR(__xludf.DUMMYFUNCTION("TO_PERCENT($C178*$AJ$17/$AG$17/O178-P178)"),0.004200000000000001)</f>
        <v>0.0042</v>
      </c>
      <c r="R178" s="136">
        <v>0.1</v>
      </c>
      <c r="S178" s="140">
        <f t="shared" si="142"/>
        <v>2.60708</v>
      </c>
      <c r="T178" s="102"/>
      <c r="U178" s="136">
        <v>0.075</v>
      </c>
      <c r="V178" s="140">
        <f t="shared" si="143"/>
        <v>0.65625</v>
      </c>
      <c r="W178" s="102"/>
      <c r="X178" s="136">
        <v>0.075</v>
      </c>
      <c r="Y178" s="140">
        <f t="shared" si="144"/>
        <v>0.013125</v>
      </c>
      <c r="Z178" s="102"/>
      <c r="AA178" s="136">
        <v>0.25</v>
      </c>
      <c r="AB178" s="141">
        <f t="shared" si="145"/>
        <v>0.00105</v>
      </c>
      <c r="AC178" s="102"/>
      <c r="AD178" s="102"/>
      <c r="AE178" s="134"/>
      <c r="AF178" s="134"/>
      <c r="AG178" s="134"/>
      <c r="AH178" s="134"/>
      <c r="AI178" s="134"/>
      <c r="AJ178" s="134"/>
      <c r="AK178" s="134"/>
    </row>
    <row r="179">
      <c r="A179" s="101" t="s">
        <v>1626</v>
      </c>
      <c r="B179" s="101" t="s">
        <v>1627</v>
      </c>
      <c r="C179" s="101">
        <f t="shared" si="136"/>
        <v>88</v>
      </c>
      <c r="D179" s="101">
        <v>0.0</v>
      </c>
      <c r="E179" s="101">
        <v>16.0</v>
      </c>
      <c r="F179" s="101">
        <v>16.0</v>
      </c>
      <c r="G179" s="102">
        <f t="shared" si="137"/>
        <v>1408</v>
      </c>
      <c r="H179" s="102">
        <f t="shared" si="138"/>
        <v>1408</v>
      </c>
      <c r="I179" s="101">
        <v>5.0</v>
      </c>
      <c r="J179" s="102">
        <f t="shared" si="139"/>
        <v>17</v>
      </c>
      <c r="K179" s="136">
        <f>IFERROR(__xludf.DUMMYFUNCTION("TO_PERCENT(C179/I179-J179)"),0.6000000000000014)</f>
        <v>0.6</v>
      </c>
      <c r="L179" s="101">
        <v>10.0</v>
      </c>
      <c r="M179" s="102">
        <f t="shared" si="140"/>
        <v>8</v>
      </c>
      <c r="N179" s="136">
        <f>IFERROR(__xludf.DUMMYFUNCTION("TO_PERCENT(C179/L179-M179)"),0.8000000000000007)</f>
        <v>0.8</v>
      </c>
      <c r="O179" s="101">
        <v>300.0</v>
      </c>
      <c r="P179" s="102">
        <f t="shared" si="141"/>
        <v>0</v>
      </c>
      <c r="Q179" s="136">
        <f>IFERROR(__xludf.DUMMYFUNCTION("TO_PERCENT($C179*$AJ$17/$AG$17/O179-P179)"),0.1408)</f>
        <v>0.1408</v>
      </c>
      <c r="R179" s="136">
        <v>0.1</v>
      </c>
      <c r="S179" s="140">
        <f t="shared" si="142"/>
        <v>6.14592</v>
      </c>
      <c r="T179" s="102"/>
      <c r="U179" s="136">
        <v>0.075</v>
      </c>
      <c r="V179" s="140">
        <f t="shared" si="143"/>
        <v>1.32</v>
      </c>
      <c r="W179" s="102"/>
      <c r="X179" s="136">
        <v>0.075</v>
      </c>
      <c r="Y179" s="140">
        <f t="shared" si="144"/>
        <v>0.66</v>
      </c>
      <c r="Z179" s="102"/>
      <c r="AA179" s="136">
        <v>0.25</v>
      </c>
      <c r="AB179" s="141">
        <f t="shared" si="145"/>
        <v>0.0352</v>
      </c>
      <c r="AC179" s="102"/>
      <c r="AD179" s="102"/>
      <c r="AE179" s="134"/>
      <c r="AF179" s="134"/>
      <c r="AG179" s="134"/>
      <c r="AH179" s="134"/>
      <c r="AI179" s="134"/>
      <c r="AJ179" s="134"/>
      <c r="AK179" s="134"/>
    </row>
    <row r="180">
      <c r="A180" s="101" t="s">
        <v>1628</v>
      </c>
      <c r="B180" s="102"/>
      <c r="C180" s="101">
        <v>14.0</v>
      </c>
      <c r="D180" s="101">
        <v>0.0</v>
      </c>
      <c r="E180" s="101">
        <v>7.0</v>
      </c>
      <c r="F180" s="101">
        <v>8.0</v>
      </c>
      <c r="G180" s="102">
        <f t="shared" si="137"/>
        <v>98</v>
      </c>
      <c r="H180" s="102">
        <f t="shared" si="138"/>
        <v>112</v>
      </c>
      <c r="I180" s="101">
        <v>10.0</v>
      </c>
      <c r="J180" s="102">
        <f t="shared" si="139"/>
        <v>1</v>
      </c>
      <c r="K180" s="136">
        <f>IFERROR(__xludf.DUMMYFUNCTION("TO_PERCENT(C180/I180-J180)"),0.3999999999999999)</f>
        <v>0.4</v>
      </c>
      <c r="L180" s="101">
        <v>200.0</v>
      </c>
      <c r="M180" s="102">
        <f t="shared" si="140"/>
        <v>0</v>
      </c>
      <c r="N180" s="136">
        <f>IFERROR(__xludf.DUMMYFUNCTION("TO_PERCENT(C180/L180-M180)"),0.07)</f>
        <v>0.07</v>
      </c>
      <c r="O180" s="101">
        <v>4000.0</v>
      </c>
      <c r="P180" s="102">
        <f t="shared" si="141"/>
        <v>0</v>
      </c>
      <c r="Q180" s="136">
        <f>IFERROR(__xludf.DUMMYFUNCTION("TO_PERCENT($C180*$AJ$17/$AG$17/O180-P180)"),0.0016799999999999999)</f>
        <v>0.00168</v>
      </c>
      <c r="R180" s="136">
        <v>0.1</v>
      </c>
      <c r="S180" s="140">
        <f t="shared" si="142"/>
        <v>1.252832</v>
      </c>
      <c r="T180" s="102"/>
      <c r="U180" s="136">
        <v>0.075</v>
      </c>
      <c r="V180" s="140">
        <f t="shared" si="143"/>
        <v>0.105</v>
      </c>
      <c r="W180" s="102"/>
      <c r="X180" s="136">
        <v>0.075</v>
      </c>
      <c r="Y180" s="140">
        <f t="shared" si="144"/>
        <v>0.00525</v>
      </c>
      <c r="Z180" s="102"/>
      <c r="AA180" s="136">
        <v>0.25</v>
      </c>
      <c r="AB180" s="141">
        <f t="shared" si="145"/>
        <v>0.00042</v>
      </c>
      <c r="AC180" s="102"/>
      <c r="AD180" s="102"/>
      <c r="AE180" s="134"/>
      <c r="AF180" s="134"/>
      <c r="AG180" s="134"/>
      <c r="AH180" s="134"/>
      <c r="AI180" s="134"/>
      <c r="AJ180" s="134"/>
      <c r="AK180" s="134"/>
    </row>
    <row r="181">
      <c r="A181" s="101" t="s">
        <v>1629</v>
      </c>
      <c r="B181" s="102"/>
      <c r="C181" s="101">
        <f t="shared" ref="C181:C183" si="146">ROUND(C16*4.4,0)</f>
        <v>70</v>
      </c>
      <c r="D181" s="101">
        <v>0.0</v>
      </c>
      <c r="E181" s="101">
        <v>14.0</v>
      </c>
      <c r="F181" s="101">
        <v>16.0</v>
      </c>
      <c r="G181" s="102">
        <f t="shared" si="137"/>
        <v>980</v>
      </c>
      <c r="H181" s="102">
        <f t="shared" si="138"/>
        <v>1120</v>
      </c>
      <c r="I181" s="101">
        <v>6.0</v>
      </c>
      <c r="J181" s="102">
        <f t="shared" si="139"/>
        <v>11</v>
      </c>
      <c r="K181" s="136">
        <f>IFERROR(__xludf.DUMMYFUNCTION("TO_PERCENT(C181/I181-J181)"),0.6666666666666661)</f>
        <v>0.6666666667</v>
      </c>
      <c r="L181" s="101">
        <v>120.0</v>
      </c>
      <c r="M181" s="102">
        <f t="shared" si="140"/>
        <v>0</v>
      </c>
      <c r="N181" s="136">
        <f>IFERROR(__xludf.DUMMYFUNCTION("TO_PERCENT(C181/L181-M181)"),0.5833333333333334)</f>
        <v>0.5833333333</v>
      </c>
      <c r="O181" s="101">
        <v>2400.0</v>
      </c>
      <c r="P181" s="102">
        <f t="shared" si="141"/>
        <v>0</v>
      </c>
      <c r="Q181" s="136">
        <f>IFERROR(__xludf.DUMMYFUNCTION("TO_PERCENT($C181*$AJ$17/$AG$17/O181-P181)"),0.014)</f>
        <v>0.014</v>
      </c>
      <c r="R181" s="136">
        <v>0.1</v>
      </c>
      <c r="S181" s="140">
        <f t="shared" si="142"/>
        <v>5.7736</v>
      </c>
      <c r="T181" s="102"/>
      <c r="U181" s="136">
        <v>0.075</v>
      </c>
      <c r="V181" s="140">
        <f t="shared" si="143"/>
        <v>0.875</v>
      </c>
      <c r="W181" s="102"/>
      <c r="X181" s="136">
        <v>0.075</v>
      </c>
      <c r="Y181" s="140">
        <f t="shared" si="144"/>
        <v>0.04375</v>
      </c>
      <c r="Z181" s="102"/>
      <c r="AA181" s="136">
        <v>0.25</v>
      </c>
      <c r="AB181" s="141">
        <f t="shared" si="145"/>
        <v>0.0035</v>
      </c>
      <c r="AC181" s="102"/>
      <c r="AD181" s="102"/>
      <c r="AE181" s="134"/>
      <c r="AF181" s="134"/>
      <c r="AG181" s="134"/>
      <c r="AH181" s="134"/>
      <c r="AI181" s="134"/>
      <c r="AJ181" s="134"/>
      <c r="AK181" s="134"/>
    </row>
    <row r="182">
      <c r="A182" s="101" t="s">
        <v>107</v>
      </c>
      <c r="B182" s="101" t="s">
        <v>1627</v>
      </c>
      <c r="C182" s="101">
        <f t="shared" si="146"/>
        <v>308</v>
      </c>
      <c r="D182" s="101">
        <v>0.0</v>
      </c>
      <c r="E182" s="101">
        <v>9.0</v>
      </c>
      <c r="F182" s="101">
        <v>9.0</v>
      </c>
      <c r="G182" s="102">
        <f t="shared" si="137"/>
        <v>2772</v>
      </c>
      <c r="H182" s="102">
        <f t="shared" si="138"/>
        <v>2772</v>
      </c>
      <c r="I182" s="101">
        <v>5.0</v>
      </c>
      <c r="J182" s="102">
        <f t="shared" si="139"/>
        <v>61</v>
      </c>
      <c r="K182" s="136">
        <f>IFERROR(__xludf.DUMMYFUNCTION("TO_PERCENT(C182/I182-J182)"),0.6000000000000014)</f>
        <v>0.6</v>
      </c>
      <c r="L182" s="101">
        <v>500.0</v>
      </c>
      <c r="M182" s="102">
        <f t="shared" si="140"/>
        <v>0</v>
      </c>
      <c r="N182" s="136">
        <f>IFERROR(__xludf.DUMMYFUNCTION("TO_PERCENT(C182/L182-M182)"),0.616)</f>
        <v>0.616</v>
      </c>
      <c r="O182" s="101">
        <v>10000.0</v>
      </c>
      <c r="P182" s="102">
        <f t="shared" si="141"/>
        <v>0</v>
      </c>
      <c r="Q182" s="136">
        <f>IFERROR(__xludf.DUMMYFUNCTION("TO_PERCENT($C182*$AJ$17/$AG$17/O182-P182)"),0.014784)</f>
        <v>0.014784</v>
      </c>
      <c r="R182" s="136">
        <v>0.1</v>
      </c>
      <c r="S182" s="140">
        <f t="shared" si="142"/>
        <v>24.5769216</v>
      </c>
      <c r="T182" s="102"/>
      <c r="U182" s="136">
        <v>0.075</v>
      </c>
      <c r="V182" s="140">
        <f t="shared" si="143"/>
        <v>4.62</v>
      </c>
      <c r="W182" s="102"/>
      <c r="X182" s="136">
        <v>0.075</v>
      </c>
      <c r="Y182" s="140">
        <f t="shared" si="144"/>
        <v>0.0462</v>
      </c>
      <c r="Z182" s="102"/>
      <c r="AA182" s="136">
        <v>0.25</v>
      </c>
      <c r="AB182" s="141">
        <f t="shared" si="145"/>
        <v>0.003696</v>
      </c>
      <c r="AC182" s="102"/>
      <c r="AD182" s="102"/>
      <c r="AE182" s="134"/>
      <c r="AF182" s="134"/>
      <c r="AG182" s="134"/>
      <c r="AH182" s="134"/>
      <c r="AI182" s="134"/>
      <c r="AJ182" s="134"/>
      <c r="AK182" s="134"/>
    </row>
    <row r="183">
      <c r="A183" s="101" t="s">
        <v>1630</v>
      </c>
      <c r="B183" s="101" t="s">
        <v>1631</v>
      </c>
      <c r="C183" s="101">
        <f t="shared" si="146"/>
        <v>792</v>
      </c>
      <c r="D183" s="101">
        <v>8.0</v>
      </c>
      <c r="E183" s="101">
        <v>9.0</v>
      </c>
      <c r="F183" s="101">
        <v>9.0</v>
      </c>
      <c r="G183" s="102">
        <f t="shared" si="137"/>
        <v>7128</v>
      </c>
      <c r="H183" s="102">
        <f t="shared" si="138"/>
        <v>7128</v>
      </c>
      <c r="I183" s="101">
        <v>5.0</v>
      </c>
      <c r="J183" s="102">
        <f t="shared" si="139"/>
        <v>158</v>
      </c>
      <c r="K183" s="136">
        <f>IFERROR(__xludf.DUMMYFUNCTION("TO_PERCENT(C183/I183-J183)"),0.4000000000000057)</f>
        <v>0.4</v>
      </c>
      <c r="L183" s="101">
        <v>30.0</v>
      </c>
      <c r="M183" s="102">
        <f t="shared" si="140"/>
        <v>26</v>
      </c>
      <c r="N183" s="136">
        <f>IFERROR(__xludf.DUMMYFUNCTION("TO_PERCENT(C183/L183-M183)"),0.3999999999999986)</f>
        <v>0.4</v>
      </c>
      <c r="O183" s="101">
        <v>600.0</v>
      </c>
      <c r="P183" s="102">
        <f t="shared" si="141"/>
        <v>0</v>
      </c>
      <c r="Q183" s="136">
        <f>IFERROR(__xludf.DUMMYFUNCTION("TO_PERCENT($C183*$AJ$17/$AG$17/O183-P183)"),0.6336)</f>
        <v>0.6336</v>
      </c>
      <c r="R183" s="136">
        <v>0.1</v>
      </c>
      <c r="S183" s="140">
        <f t="shared" si="142"/>
        <v>60.65664</v>
      </c>
      <c r="T183" s="102"/>
      <c r="U183" s="136">
        <v>0.075</v>
      </c>
      <c r="V183" s="140">
        <f t="shared" si="143"/>
        <v>11.88</v>
      </c>
      <c r="W183" s="102"/>
      <c r="X183" s="136">
        <v>0.075</v>
      </c>
      <c r="Y183" s="140">
        <f t="shared" si="144"/>
        <v>1.98</v>
      </c>
      <c r="Z183" s="102"/>
      <c r="AA183" s="136">
        <v>0.25</v>
      </c>
      <c r="AB183" s="141">
        <f t="shared" si="145"/>
        <v>0.1584</v>
      </c>
      <c r="AC183" s="102"/>
      <c r="AD183" s="102"/>
      <c r="AE183" s="134"/>
      <c r="AF183" s="134"/>
      <c r="AG183" s="134"/>
      <c r="AH183" s="134"/>
      <c r="AI183" s="134"/>
      <c r="AJ183" s="134"/>
      <c r="AK183" s="134"/>
    </row>
    <row r="184">
      <c r="A184" s="101" t="s">
        <v>131</v>
      </c>
      <c r="B184" s="101" t="s">
        <v>1627</v>
      </c>
      <c r="C184" s="101">
        <v>20.0</v>
      </c>
      <c r="D184" s="101">
        <v>0.0</v>
      </c>
      <c r="E184" s="101">
        <v>0.0</v>
      </c>
      <c r="F184" s="101">
        <v>0.0</v>
      </c>
      <c r="G184" s="102">
        <f t="shared" si="137"/>
        <v>0</v>
      </c>
      <c r="H184" s="102">
        <f t="shared" si="138"/>
        <v>0</v>
      </c>
      <c r="I184" s="104">
        <v>0.0</v>
      </c>
      <c r="J184" s="101">
        <v>0.0</v>
      </c>
      <c r="K184" s="136">
        <v>0.0</v>
      </c>
      <c r="L184" s="101">
        <v>1.0</v>
      </c>
      <c r="M184" s="101">
        <v>20.0</v>
      </c>
      <c r="N184" s="136">
        <v>0.0</v>
      </c>
      <c r="O184" s="104">
        <v>0.0</v>
      </c>
      <c r="P184" s="101">
        <v>0.0</v>
      </c>
      <c r="Q184" s="136">
        <v>0.0</v>
      </c>
      <c r="R184" s="136">
        <v>0.1</v>
      </c>
      <c r="S184" s="140">
        <f t="shared" si="142"/>
        <v>0</v>
      </c>
      <c r="T184" s="102"/>
      <c r="U184" s="136">
        <v>0.075</v>
      </c>
      <c r="V184" s="140">
        <f t="shared" si="143"/>
        <v>0</v>
      </c>
      <c r="W184" s="102"/>
      <c r="X184" s="136">
        <v>0.075</v>
      </c>
      <c r="Y184" s="140">
        <f t="shared" si="144"/>
        <v>1.5</v>
      </c>
      <c r="Z184" s="102"/>
      <c r="AA184" s="136">
        <v>0.25</v>
      </c>
      <c r="AB184" s="141">
        <f t="shared" si="145"/>
        <v>0</v>
      </c>
      <c r="AC184" s="102"/>
      <c r="AD184" s="102"/>
      <c r="AE184" s="134"/>
      <c r="AF184" s="134"/>
      <c r="AG184" s="134"/>
      <c r="AH184" s="134"/>
      <c r="AI184" s="134"/>
      <c r="AJ184" s="134"/>
      <c r="AK184" s="134"/>
    </row>
    <row r="185">
      <c r="A185" s="101" t="s">
        <v>223</v>
      </c>
      <c r="B185" s="101"/>
      <c r="C185" s="101">
        <v>125.0</v>
      </c>
      <c r="D185" s="101">
        <v>5.0</v>
      </c>
      <c r="E185" s="101">
        <v>5.0</v>
      </c>
      <c r="F185" s="101">
        <v>5.0</v>
      </c>
      <c r="G185" s="102">
        <f t="shared" si="137"/>
        <v>625</v>
      </c>
      <c r="H185" s="102">
        <f t="shared" si="138"/>
        <v>625</v>
      </c>
      <c r="I185" s="101">
        <v>6.0</v>
      </c>
      <c r="J185" s="102">
        <f t="shared" ref="J185:J187" si="147">ROUNDDOWN(C185/I185,0)</f>
        <v>20</v>
      </c>
      <c r="K185" s="136">
        <f>IFERROR(__xludf.DUMMYFUNCTION("TO_PERCENT(C185/I185-J185)"),0.8333333333333321)</f>
        <v>0.8333333333</v>
      </c>
      <c r="L185" s="101">
        <v>50.0</v>
      </c>
      <c r="M185" s="102">
        <f t="shared" ref="M185:M187" si="148">ROUNDDOWN(C185/L185,0)</f>
        <v>2</v>
      </c>
      <c r="N185" s="136">
        <f>IFERROR(__xludf.DUMMYFUNCTION("TO_PERCENT(C185/L185-M185)"),0.5)</f>
        <v>0.5</v>
      </c>
      <c r="O185" s="101">
        <v>8000.0</v>
      </c>
      <c r="P185" s="102">
        <f>ROUNDDOWN($C185*$AJ$17/$AG$17/O185,0)</f>
        <v>0</v>
      </c>
      <c r="Q185" s="136">
        <f>IFERROR(__xludf.DUMMYFUNCTION("TO_PERCENT($C185*$AJ$17/$AG$17/O185-P185)"),0.0075)</f>
        <v>0.0075</v>
      </c>
      <c r="R185" s="136">
        <v>0.1</v>
      </c>
      <c r="S185" s="140">
        <f t="shared" si="142"/>
        <v>10.16591667</v>
      </c>
      <c r="T185" s="102"/>
      <c r="U185" s="136">
        <v>0.075</v>
      </c>
      <c r="V185" s="140">
        <f t="shared" si="143"/>
        <v>1.5625</v>
      </c>
      <c r="W185" s="102"/>
      <c r="X185" s="136">
        <v>0.075</v>
      </c>
      <c r="Y185" s="140">
        <f t="shared" si="144"/>
        <v>0.1875</v>
      </c>
      <c r="Z185" s="102"/>
      <c r="AA185" s="136">
        <v>0.25</v>
      </c>
      <c r="AB185" s="141">
        <f t="shared" si="145"/>
        <v>0.001875</v>
      </c>
      <c r="AC185" s="102"/>
      <c r="AD185" s="102"/>
      <c r="AE185" s="134"/>
      <c r="AF185" s="134"/>
      <c r="AG185" s="134"/>
      <c r="AH185" s="134"/>
      <c r="AI185" s="134"/>
      <c r="AJ185" s="134"/>
      <c r="AK185" s="134"/>
    </row>
    <row r="186">
      <c r="A186" s="101" t="s">
        <v>1632</v>
      </c>
      <c r="B186" s="101"/>
      <c r="C186" s="101">
        <v>250.0</v>
      </c>
      <c r="D186" s="101">
        <v>0.0</v>
      </c>
      <c r="E186" s="101">
        <v>7.0</v>
      </c>
      <c r="F186" s="101">
        <v>7.0</v>
      </c>
      <c r="G186" s="102">
        <f t="shared" si="137"/>
        <v>1750</v>
      </c>
      <c r="H186" s="102">
        <f t="shared" si="138"/>
        <v>1750</v>
      </c>
      <c r="I186" s="101">
        <v>5.0</v>
      </c>
      <c r="J186" s="102">
        <f t="shared" si="147"/>
        <v>50</v>
      </c>
      <c r="K186" s="136">
        <f>IFERROR(__xludf.DUMMYFUNCTION("TO_PERCENT(C186/I186-J186)"),0.0)</f>
        <v>0</v>
      </c>
      <c r="L186" s="101">
        <v>30.0</v>
      </c>
      <c r="M186" s="102">
        <f t="shared" si="148"/>
        <v>8</v>
      </c>
      <c r="N186" s="136">
        <f>IFERROR(__xludf.DUMMYFUNCTION("TO_PERCENT(C186/L186-M186)"),0.3333333333333339)</f>
        <v>0.3333333333</v>
      </c>
      <c r="O186" s="101">
        <v>1600.0</v>
      </c>
      <c r="P186" s="104">
        <v>0.0</v>
      </c>
      <c r="Q186" s="136">
        <v>0.1</v>
      </c>
      <c r="R186" s="136">
        <v>0.1</v>
      </c>
      <c r="S186" s="140">
        <f t="shared" si="142"/>
        <v>19.15666667</v>
      </c>
      <c r="T186" s="102"/>
      <c r="U186" s="136">
        <v>0.075</v>
      </c>
      <c r="V186" s="140">
        <f t="shared" si="143"/>
        <v>3.75</v>
      </c>
      <c r="W186" s="102"/>
      <c r="X186" s="136">
        <v>0.075</v>
      </c>
      <c r="Y186" s="140">
        <f t="shared" si="144"/>
        <v>0.625</v>
      </c>
      <c r="Z186" s="102"/>
      <c r="AA186" s="136">
        <v>0.25</v>
      </c>
      <c r="AB186" s="141">
        <f t="shared" si="145"/>
        <v>0.025</v>
      </c>
      <c r="AC186" s="102"/>
      <c r="AD186" s="102"/>
      <c r="AE186" s="134"/>
      <c r="AF186" s="134"/>
      <c r="AG186" s="134"/>
      <c r="AH186" s="134"/>
      <c r="AI186" s="134"/>
      <c r="AJ186" s="134"/>
      <c r="AK186" s="134"/>
    </row>
    <row r="187">
      <c r="A187" s="101" t="s">
        <v>1643</v>
      </c>
      <c r="B187" s="101"/>
      <c r="C187" s="101">
        <v>350.0</v>
      </c>
      <c r="D187" s="101">
        <v>0.0</v>
      </c>
      <c r="E187" s="101">
        <v>12.0</v>
      </c>
      <c r="F187" s="101">
        <v>12.0</v>
      </c>
      <c r="G187" s="102">
        <f t="shared" si="137"/>
        <v>4200</v>
      </c>
      <c r="H187" s="102">
        <f t="shared" si="138"/>
        <v>4200</v>
      </c>
      <c r="I187" s="101">
        <v>5.0</v>
      </c>
      <c r="J187" s="102">
        <f t="shared" si="147"/>
        <v>70</v>
      </c>
      <c r="K187" s="136">
        <f>IFERROR(__xludf.DUMMYFUNCTION("TO_PERCENT(C187/I187-J187)"),0.0)</f>
        <v>0</v>
      </c>
      <c r="L187" s="101">
        <v>15.0</v>
      </c>
      <c r="M187" s="102">
        <f t="shared" si="148"/>
        <v>23</v>
      </c>
      <c r="N187" s="136">
        <f>IFERROR(__xludf.DUMMYFUNCTION("TO_PERCENT(C187/L187-M187)"),0.33333333333333215)</f>
        <v>0.3333333333</v>
      </c>
      <c r="O187" s="101">
        <v>400.0</v>
      </c>
      <c r="P187" s="104">
        <v>1.0</v>
      </c>
      <c r="Q187" s="136">
        <v>0.0</v>
      </c>
      <c r="R187" s="102"/>
      <c r="S187" s="140"/>
      <c r="T187" s="101">
        <v>64.0</v>
      </c>
      <c r="U187" s="102"/>
      <c r="V187" s="140"/>
      <c r="W187" s="101">
        <v>18.0</v>
      </c>
      <c r="X187" s="102"/>
      <c r="Y187" s="140"/>
      <c r="Z187" s="101">
        <v>6.0</v>
      </c>
      <c r="AA187" s="102"/>
      <c r="AB187" s="141"/>
      <c r="AC187" s="101">
        <v>1.0</v>
      </c>
      <c r="AD187" s="102"/>
      <c r="AE187" s="134"/>
      <c r="AF187" s="134"/>
      <c r="AG187" s="134"/>
      <c r="AH187" s="134"/>
      <c r="AI187" s="134"/>
      <c r="AJ187" s="134"/>
      <c r="AK187" s="134"/>
    </row>
    <row r="188">
      <c r="A188" s="101" t="s">
        <v>1634</v>
      </c>
      <c r="B188" s="101" t="s">
        <v>1622</v>
      </c>
      <c r="C188" s="101">
        <v>0.0</v>
      </c>
      <c r="D188" s="101">
        <v>0.0</v>
      </c>
      <c r="E188" s="101"/>
      <c r="F188" s="101"/>
      <c r="G188" s="101">
        <v>500.0</v>
      </c>
      <c r="H188" s="101">
        <v>1000.0</v>
      </c>
      <c r="I188" s="101"/>
      <c r="J188" s="102"/>
      <c r="K188" s="136"/>
      <c r="L188" s="101"/>
      <c r="M188" s="102"/>
      <c r="N188" s="136"/>
      <c r="O188" s="101"/>
      <c r="P188" s="104"/>
      <c r="Q188" s="136"/>
      <c r="R188" s="102"/>
      <c r="S188" s="140"/>
      <c r="T188" s="101"/>
      <c r="U188" s="102"/>
      <c r="V188" s="140"/>
      <c r="W188" s="101"/>
      <c r="X188" s="102"/>
      <c r="Y188" s="140"/>
      <c r="Z188" s="101"/>
      <c r="AA188" s="102"/>
      <c r="AB188" s="141"/>
      <c r="AC188" s="101"/>
      <c r="AD188" s="102"/>
      <c r="AE188" s="134"/>
      <c r="AF188" s="134"/>
      <c r="AG188" s="134"/>
      <c r="AH188" s="134"/>
      <c r="AI188" s="134"/>
      <c r="AJ188" s="134"/>
      <c r="AK188" s="134"/>
    </row>
    <row r="189">
      <c r="A189" s="101" t="s">
        <v>1635</v>
      </c>
      <c r="B189" s="101" t="s">
        <v>1625</v>
      </c>
      <c r="C189" s="101">
        <v>0.0</v>
      </c>
      <c r="D189" s="101">
        <v>0.0</v>
      </c>
      <c r="E189" s="101"/>
      <c r="F189" s="101"/>
      <c r="G189" s="101">
        <v>1000.0</v>
      </c>
      <c r="H189" s="101">
        <v>2500.0</v>
      </c>
      <c r="I189" s="101"/>
      <c r="J189" s="102"/>
      <c r="K189" s="136"/>
      <c r="L189" s="101"/>
      <c r="M189" s="102"/>
      <c r="N189" s="136"/>
      <c r="O189" s="101"/>
      <c r="P189" s="104"/>
      <c r="Q189" s="136"/>
      <c r="R189" s="102"/>
      <c r="S189" s="140"/>
      <c r="T189" s="101"/>
      <c r="U189" s="102"/>
      <c r="V189" s="140"/>
      <c r="W189" s="101"/>
      <c r="X189" s="102"/>
      <c r="Y189" s="140"/>
      <c r="Z189" s="101"/>
      <c r="AA189" s="102"/>
      <c r="AB189" s="141"/>
      <c r="AC189" s="101"/>
      <c r="AD189" s="102"/>
      <c r="AE189" s="134"/>
      <c r="AF189" s="134"/>
      <c r="AG189" s="134"/>
      <c r="AH189" s="134"/>
      <c r="AI189" s="134"/>
      <c r="AJ189" s="134"/>
      <c r="AK189" s="134"/>
    </row>
    <row r="190">
      <c r="A190" s="101" t="s">
        <v>1636</v>
      </c>
      <c r="B190" s="101" t="s">
        <v>1627</v>
      </c>
      <c r="C190" s="101">
        <v>0.0</v>
      </c>
      <c r="D190" s="101">
        <v>0.0</v>
      </c>
      <c r="E190" s="101"/>
      <c r="F190" s="101"/>
      <c r="G190" s="101">
        <v>3500.0</v>
      </c>
      <c r="H190" s="101">
        <v>6500.0</v>
      </c>
      <c r="I190" s="101"/>
      <c r="J190" s="102"/>
      <c r="K190" s="136"/>
      <c r="L190" s="101"/>
      <c r="M190" s="102"/>
      <c r="N190" s="136"/>
      <c r="O190" s="101"/>
      <c r="P190" s="104"/>
      <c r="Q190" s="136"/>
      <c r="R190" s="102"/>
      <c r="S190" s="140"/>
      <c r="T190" s="101"/>
      <c r="U190" s="102"/>
      <c r="V190" s="140"/>
      <c r="W190" s="101"/>
      <c r="X190" s="102"/>
      <c r="Y190" s="140"/>
      <c r="Z190" s="101"/>
      <c r="AA190" s="102"/>
      <c r="AB190" s="141"/>
      <c r="AC190" s="101"/>
      <c r="AD190" s="102"/>
      <c r="AE190" s="134"/>
      <c r="AF190" s="134"/>
      <c r="AG190" s="134"/>
      <c r="AH190" s="134"/>
      <c r="AI190" s="134"/>
      <c r="AJ190" s="134"/>
      <c r="AK190" s="134"/>
    </row>
    <row r="191">
      <c r="A191" s="135" t="s">
        <v>1649</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5"/>
      <c r="AE191" s="134"/>
      <c r="AF191" s="134"/>
      <c r="AG191" s="134"/>
      <c r="AH191" s="134"/>
      <c r="AI191" s="134"/>
      <c r="AJ191" s="134"/>
      <c r="AK191" s="134"/>
    </row>
    <row r="192">
      <c r="A192" s="101" t="s">
        <v>1621</v>
      </c>
      <c r="B192" s="101" t="s">
        <v>1622</v>
      </c>
      <c r="C192" s="101">
        <f t="shared" ref="C192:C194" si="149">ROUND(C12*4.7,0)</f>
        <v>19</v>
      </c>
      <c r="D192" s="101">
        <v>0.0</v>
      </c>
      <c r="E192" s="101">
        <v>7.0</v>
      </c>
      <c r="F192" s="101">
        <v>8.0</v>
      </c>
      <c r="G192" s="102">
        <f t="shared" ref="G192:G202" si="150">E192*C192</f>
        <v>133</v>
      </c>
      <c r="H192" s="102">
        <f t="shared" ref="H192:H202" si="151">F192*C192</f>
        <v>152</v>
      </c>
      <c r="I192" s="101">
        <v>9.0</v>
      </c>
      <c r="J192" s="102">
        <f t="shared" ref="J192:J198" si="152">ROUNDDOWN(C192/I192,0)</f>
        <v>2</v>
      </c>
      <c r="K192" s="136">
        <f>IFERROR(__xludf.DUMMYFUNCTION("TO_PERCENT(C192/I192-J192)"),0.11111111111111116)</f>
        <v>0.1111111111</v>
      </c>
      <c r="L192" s="101">
        <v>500.0</v>
      </c>
      <c r="M192" s="102">
        <f t="shared" ref="M192:M198" si="153">ROUNDDOWN(C192/L192,0)</f>
        <v>0</v>
      </c>
      <c r="N192" s="136">
        <f>IFERROR(__xludf.DUMMYFUNCTION("TO_PERCENT(C192/L192-M192)"),0.038)</f>
        <v>0.038</v>
      </c>
      <c r="O192" s="101">
        <v>10000.0</v>
      </c>
      <c r="P192" s="102">
        <f t="shared" ref="P192:P198" si="154">ROUNDDOWN($C192*$AJ$18/$AG$18/O192,0)</f>
        <v>0</v>
      </c>
      <c r="Q192" s="136">
        <f>IFERROR(__xludf.DUMMYFUNCTION("TO_PERCENT($C192*$AJ$18/$AG$18/O192-P192)"),0.001023076923076923)</f>
        <v>0.001023076923</v>
      </c>
      <c r="R192" s="136">
        <v>0.15</v>
      </c>
      <c r="S192" s="140">
        <f t="shared" ref="S192:S201" si="155">R192*(C192-J192-K192-M192-N192-P192-Q192)</f>
        <v>2.527479872</v>
      </c>
      <c r="T192" s="102"/>
      <c r="U192" s="136">
        <v>0.1</v>
      </c>
      <c r="V192" s="140">
        <f t="shared" ref="V192:V201" si="156">U192*(J192+K192)</f>
        <v>0.2111111111</v>
      </c>
      <c r="W192" s="102"/>
      <c r="X192" s="136">
        <v>0.1</v>
      </c>
      <c r="Y192" s="140">
        <f t="shared" ref="Y192:Y201" si="157">X192*(M192+N192)</f>
        <v>0.0038</v>
      </c>
      <c r="Z192" s="102"/>
      <c r="AA192" s="136">
        <v>0.25</v>
      </c>
      <c r="AB192" s="141">
        <f t="shared" ref="AB192:AB201" si="158">AA192*(P192+Q192)</f>
        <v>0.0002557692308</v>
      </c>
      <c r="AC192" s="102"/>
      <c r="AD192" s="102"/>
      <c r="AE192" s="134"/>
      <c r="AF192" s="134"/>
      <c r="AG192" s="134"/>
      <c r="AH192" s="134"/>
      <c r="AI192" s="134"/>
      <c r="AJ192" s="134"/>
      <c r="AK192" s="134"/>
    </row>
    <row r="193">
      <c r="A193" s="101" t="s">
        <v>1624</v>
      </c>
      <c r="B193" s="101" t="s">
        <v>1625</v>
      </c>
      <c r="C193" s="101">
        <f t="shared" si="149"/>
        <v>38</v>
      </c>
      <c r="D193" s="101">
        <v>0.0</v>
      </c>
      <c r="E193" s="101">
        <v>14.0</v>
      </c>
      <c r="F193" s="101">
        <v>16.0</v>
      </c>
      <c r="G193" s="102">
        <f t="shared" si="150"/>
        <v>532</v>
      </c>
      <c r="H193" s="102">
        <f t="shared" si="151"/>
        <v>608</v>
      </c>
      <c r="I193" s="101">
        <v>4.0</v>
      </c>
      <c r="J193" s="102">
        <f t="shared" si="152"/>
        <v>9</v>
      </c>
      <c r="K193" s="136">
        <f>IFERROR(__xludf.DUMMYFUNCTION("TO_PERCENT(C193/I193-J193)"),0.5)</f>
        <v>0.5</v>
      </c>
      <c r="L193" s="101">
        <v>200.0</v>
      </c>
      <c r="M193" s="102">
        <f t="shared" si="153"/>
        <v>0</v>
      </c>
      <c r="N193" s="136">
        <f>IFERROR(__xludf.DUMMYFUNCTION("TO_PERCENT(C193/L193-M193)"),0.19)</f>
        <v>0.19</v>
      </c>
      <c r="O193" s="101">
        <v>4000.0</v>
      </c>
      <c r="P193" s="102">
        <f t="shared" si="154"/>
        <v>0</v>
      </c>
      <c r="Q193" s="136">
        <f>IFERROR(__xludf.DUMMYFUNCTION("TO_PERCENT($C193*$AJ$18/$AG$18/O193-P193)"),0.005115384615384615)</f>
        <v>0.005115384615</v>
      </c>
      <c r="R193" s="136">
        <v>0.15</v>
      </c>
      <c r="S193" s="140">
        <f t="shared" si="155"/>
        <v>4.245732692</v>
      </c>
      <c r="T193" s="102"/>
      <c r="U193" s="136">
        <v>0.1</v>
      </c>
      <c r="V193" s="140">
        <f t="shared" si="156"/>
        <v>0.95</v>
      </c>
      <c r="W193" s="102"/>
      <c r="X193" s="136">
        <v>0.1</v>
      </c>
      <c r="Y193" s="140">
        <f t="shared" si="157"/>
        <v>0.019</v>
      </c>
      <c r="Z193" s="102"/>
      <c r="AA193" s="136">
        <v>0.25</v>
      </c>
      <c r="AB193" s="141">
        <f t="shared" si="158"/>
        <v>0.001278846154</v>
      </c>
      <c r="AC193" s="102"/>
      <c r="AD193" s="102"/>
      <c r="AE193" s="134"/>
      <c r="AF193" s="134"/>
      <c r="AG193" s="134"/>
      <c r="AH193" s="134"/>
      <c r="AI193" s="134"/>
      <c r="AJ193" s="134"/>
      <c r="AK193" s="134"/>
    </row>
    <row r="194">
      <c r="A194" s="101" t="s">
        <v>1626</v>
      </c>
      <c r="B194" s="101" t="s">
        <v>1627</v>
      </c>
      <c r="C194" s="101">
        <f t="shared" si="149"/>
        <v>94</v>
      </c>
      <c r="D194" s="101">
        <v>0.0</v>
      </c>
      <c r="E194" s="101">
        <v>16.0</v>
      </c>
      <c r="F194" s="101">
        <v>16.0</v>
      </c>
      <c r="G194" s="102">
        <f t="shared" si="150"/>
        <v>1504</v>
      </c>
      <c r="H194" s="102">
        <f t="shared" si="151"/>
        <v>1504</v>
      </c>
      <c r="I194" s="101">
        <v>5.0</v>
      </c>
      <c r="J194" s="102">
        <f t="shared" si="152"/>
        <v>18</v>
      </c>
      <c r="K194" s="136">
        <f>IFERROR(__xludf.DUMMYFUNCTION("TO_PERCENT(C194/I194-J194)"),0.8000000000000007)</f>
        <v>0.8</v>
      </c>
      <c r="L194" s="101">
        <v>10.0</v>
      </c>
      <c r="M194" s="102">
        <f t="shared" si="153"/>
        <v>9</v>
      </c>
      <c r="N194" s="136">
        <f>IFERROR(__xludf.DUMMYFUNCTION("TO_PERCENT(C194/L194-M194)"),0.40000000000000036)</f>
        <v>0.4</v>
      </c>
      <c r="O194" s="101">
        <v>300.0</v>
      </c>
      <c r="P194" s="102">
        <f t="shared" si="154"/>
        <v>0</v>
      </c>
      <c r="Q194" s="136">
        <f>IFERROR(__xludf.DUMMYFUNCTION("TO_PERCENT($C194*$AJ$18/$AG$18/O194-P194)"),0.1687179487179487)</f>
        <v>0.1687179487</v>
      </c>
      <c r="R194" s="136">
        <v>0.15</v>
      </c>
      <c r="S194" s="140">
        <f t="shared" si="155"/>
        <v>9.844692308</v>
      </c>
      <c r="T194" s="102"/>
      <c r="U194" s="136">
        <v>0.1</v>
      </c>
      <c r="V194" s="140">
        <f t="shared" si="156"/>
        <v>1.88</v>
      </c>
      <c r="W194" s="102"/>
      <c r="X194" s="136">
        <v>0.1</v>
      </c>
      <c r="Y194" s="140">
        <f t="shared" si="157"/>
        <v>0.94</v>
      </c>
      <c r="Z194" s="102"/>
      <c r="AA194" s="136">
        <v>0.25</v>
      </c>
      <c r="AB194" s="141">
        <f t="shared" si="158"/>
        <v>0.04217948718</v>
      </c>
      <c r="AC194" s="102"/>
      <c r="AD194" s="102"/>
      <c r="AE194" s="134"/>
      <c r="AF194" s="134"/>
      <c r="AG194" s="134"/>
      <c r="AH194" s="134"/>
      <c r="AI194" s="134"/>
      <c r="AJ194" s="134"/>
      <c r="AK194" s="134"/>
    </row>
    <row r="195">
      <c r="A195" s="101" t="s">
        <v>1628</v>
      </c>
      <c r="B195" s="102"/>
      <c r="C195" s="101">
        <v>15.0</v>
      </c>
      <c r="D195" s="101">
        <v>0.0</v>
      </c>
      <c r="E195" s="101">
        <v>7.0</v>
      </c>
      <c r="F195" s="101">
        <v>8.0</v>
      </c>
      <c r="G195" s="102">
        <f t="shared" si="150"/>
        <v>105</v>
      </c>
      <c r="H195" s="102">
        <f t="shared" si="151"/>
        <v>120</v>
      </c>
      <c r="I195" s="101">
        <v>10.0</v>
      </c>
      <c r="J195" s="102">
        <f t="shared" si="152"/>
        <v>1</v>
      </c>
      <c r="K195" s="136">
        <f>IFERROR(__xludf.DUMMYFUNCTION("TO_PERCENT(C195/I195-J195)"),0.5)</f>
        <v>0.5</v>
      </c>
      <c r="L195" s="101">
        <v>200.0</v>
      </c>
      <c r="M195" s="102">
        <f t="shared" si="153"/>
        <v>0</v>
      </c>
      <c r="N195" s="136">
        <f>IFERROR(__xludf.DUMMYFUNCTION("TO_PERCENT(C195/L195-M195)"),0.075)</f>
        <v>0.075</v>
      </c>
      <c r="O195" s="101">
        <v>4000.0</v>
      </c>
      <c r="P195" s="102">
        <f t="shared" si="154"/>
        <v>0</v>
      </c>
      <c r="Q195" s="136">
        <f>IFERROR(__xludf.DUMMYFUNCTION("TO_PERCENT($C195*$AJ$18/$AG$18/O195-P195)"),0.0020192307692307693)</f>
        <v>0.002019230769</v>
      </c>
      <c r="R195" s="136">
        <v>0.15</v>
      </c>
      <c r="S195" s="140">
        <f t="shared" si="155"/>
        <v>2.013447115</v>
      </c>
      <c r="T195" s="102"/>
      <c r="U195" s="136">
        <v>0.1</v>
      </c>
      <c r="V195" s="140">
        <f t="shared" si="156"/>
        <v>0.15</v>
      </c>
      <c r="W195" s="102"/>
      <c r="X195" s="136">
        <v>0.1</v>
      </c>
      <c r="Y195" s="140">
        <f t="shared" si="157"/>
        <v>0.0075</v>
      </c>
      <c r="Z195" s="102"/>
      <c r="AA195" s="136">
        <v>0.25</v>
      </c>
      <c r="AB195" s="141">
        <f t="shared" si="158"/>
        <v>0.0005048076923</v>
      </c>
      <c r="AC195" s="102"/>
      <c r="AD195" s="102"/>
      <c r="AE195" s="134"/>
      <c r="AF195" s="134"/>
      <c r="AG195" s="134"/>
      <c r="AH195" s="134"/>
      <c r="AI195" s="134"/>
      <c r="AJ195" s="134"/>
      <c r="AK195" s="134"/>
    </row>
    <row r="196">
      <c r="A196" s="101" t="s">
        <v>1629</v>
      </c>
      <c r="B196" s="102"/>
      <c r="C196" s="101">
        <f t="shared" ref="C196:C198" si="159">ROUND(C16*4.7,0)</f>
        <v>75</v>
      </c>
      <c r="D196" s="101">
        <v>0.0</v>
      </c>
      <c r="E196" s="101">
        <v>14.0</v>
      </c>
      <c r="F196" s="101">
        <v>16.0</v>
      </c>
      <c r="G196" s="102">
        <f t="shared" si="150"/>
        <v>1050</v>
      </c>
      <c r="H196" s="102">
        <f t="shared" si="151"/>
        <v>1200</v>
      </c>
      <c r="I196" s="101">
        <v>6.0</v>
      </c>
      <c r="J196" s="102">
        <f t="shared" si="152"/>
        <v>12</v>
      </c>
      <c r="K196" s="136">
        <f>IFERROR(__xludf.DUMMYFUNCTION("TO_PERCENT(C196/I196-J196)"),0.5)</f>
        <v>0.5</v>
      </c>
      <c r="L196" s="101">
        <v>120.0</v>
      </c>
      <c r="M196" s="102">
        <f t="shared" si="153"/>
        <v>0</v>
      </c>
      <c r="N196" s="136">
        <f>IFERROR(__xludf.DUMMYFUNCTION("TO_PERCENT(C196/L196-M196)"),0.625)</f>
        <v>0.625</v>
      </c>
      <c r="O196" s="101">
        <v>2400.0</v>
      </c>
      <c r="P196" s="102">
        <f t="shared" si="154"/>
        <v>0</v>
      </c>
      <c r="Q196" s="136">
        <f>IFERROR(__xludf.DUMMYFUNCTION("TO_PERCENT($C196*$AJ$18/$AG$18/O196-P196)"),0.016826923076923076)</f>
        <v>0.01682692308</v>
      </c>
      <c r="R196" s="136">
        <v>0.15</v>
      </c>
      <c r="S196" s="140">
        <f t="shared" si="155"/>
        <v>9.278725962</v>
      </c>
      <c r="T196" s="102"/>
      <c r="U196" s="136">
        <v>0.1</v>
      </c>
      <c r="V196" s="140">
        <f t="shared" si="156"/>
        <v>1.25</v>
      </c>
      <c r="W196" s="102"/>
      <c r="X196" s="136">
        <v>0.1</v>
      </c>
      <c r="Y196" s="140">
        <f t="shared" si="157"/>
        <v>0.0625</v>
      </c>
      <c r="Z196" s="102"/>
      <c r="AA196" s="136">
        <v>0.25</v>
      </c>
      <c r="AB196" s="141">
        <f t="shared" si="158"/>
        <v>0.004206730769</v>
      </c>
      <c r="AC196" s="102"/>
      <c r="AD196" s="102"/>
      <c r="AE196" s="134"/>
      <c r="AF196" s="134"/>
      <c r="AG196" s="134"/>
      <c r="AH196" s="134"/>
      <c r="AI196" s="134"/>
      <c r="AJ196" s="134"/>
      <c r="AK196" s="134"/>
    </row>
    <row r="197">
      <c r="A197" s="101" t="s">
        <v>107</v>
      </c>
      <c r="B197" s="101" t="s">
        <v>1627</v>
      </c>
      <c r="C197" s="101">
        <f t="shared" si="159"/>
        <v>329</v>
      </c>
      <c r="D197" s="101">
        <v>0.0</v>
      </c>
      <c r="E197" s="101">
        <v>9.0</v>
      </c>
      <c r="F197" s="101">
        <v>9.0</v>
      </c>
      <c r="G197" s="102">
        <f t="shared" si="150"/>
        <v>2961</v>
      </c>
      <c r="H197" s="102">
        <f t="shared" si="151"/>
        <v>2961</v>
      </c>
      <c r="I197" s="101">
        <v>5.0</v>
      </c>
      <c r="J197" s="102">
        <f t="shared" si="152"/>
        <v>65</v>
      </c>
      <c r="K197" s="136">
        <f>IFERROR(__xludf.DUMMYFUNCTION("TO_PERCENT(C197/I197-J197)"),0.7999999999999972)</f>
        <v>0.8</v>
      </c>
      <c r="L197" s="101">
        <v>500.0</v>
      </c>
      <c r="M197" s="102">
        <f t="shared" si="153"/>
        <v>0</v>
      </c>
      <c r="N197" s="136">
        <f>IFERROR(__xludf.DUMMYFUNCTION("TO_PERCENT(C197/L197-M197)"),0.658)</f>
        <v>0.658</v>
      </c>
      <c r="O197" s="101">
        <v>10000.0</v>
      </c>
      <c r="P197" s="102">
        <f t="shared" si="154"/>
        <v>0</v>
      </c>
      <c r="Q197" s="136">
        <f>IFERROR(__xludf.DUMMYFUNCTION("TO_PERCENT($C197*$AJ$18/$AG$18/O197-P197)"),0.017715384615384615)</f>
        <v>0.01771538462</v>
      </c>
      <c r="R197" s="136">
        <v>0.15</v>
      </c>
      <c r="S197" s="140">
        <f t="shared" si="155"/>
        <v>39.37864269</v>
      </c>
      <c r="T197" s="102"/>
      <c r="U197" s="136">
        <v>0.1</v>
      </c>
      <c r="V197" s="140">
        <f t="shared" si="156"/>
        <v>6.58</v>
      </c>
      <c r="W197" s="102"/>
      <c r="X197" s="136">
        <v>0.1</v>
      </c>
      <c r="Y197" s="140">
        <f t="shared" si="157"/>
        <v>0.0658</v>
      </c>
      <c r="Z197" s="102"/>
      <c r="AA197" s="136">
        <v>0.25</v>
      </c>
      <c r="AB197" s="141">
        <f t="shared" si="158"/>
        <v>0.004428846154</v>
      </c>
      <c r="AC197" s="102"/>
      <c r="AD197" s="102"/>
      <c r="AE197" s="134"/>
      <c r="AF197" s="134"/>
      <c r="AG197" s="134"/>
      <c r="AH197" s="134"/>
      <c r="AI197" s="134"/>
      <c r="AJ197" s="134"/>
      <c r="AK197" s="134"/>
    </row>
    <row r="198">
      <c r="A198" s="101" t="s">
        <v>1630</v>
      </c>
      <c r="B198" s="101" t="s">
        <v>1631</v>
      </c>
      <c r="C198" s="101">
        <f t="shared" si="159"/>
        <v>846</v>
      </c>
      <c r="D198" s="101">
        <v>9.0</v>
      </c>
      <c r="E198" s="101">
        <v>9.0</v>
      </c>
      <c r="F198" s="101">
        <v>9.0</v>
      </c>
      <c r="G198" s="102">
        <f t="shared" si="150"/>
        <v>7614</v>
      </c>
      <c r="H198" s="102">
        <f t="shared" si="151"/>
        <v>7614</v>
      </c>
      <c r="I198" s="101">
        <v>5.0</v>
      </c>
      <c r="J198" s="102">
        <f t="shared" si="152"/>
        <v>169</v>
      </c>
      <c r="K198" s="136">
        <f>IFERROR(__xludf.DUMMYFUNCTION("TO_PERCENT(C198/I198-J198)"),0.19999999999998863)</f>
        <v>0.2</v>
      </c>
      <c r="L198" s="101">
        <v>30.0</v>
      </c>
      <c r="M198" s="102">
        <f t="shared" si="153"/>
        <v>28</v>
      </c>
      <c r="N198" s="136">
        <f>IFERROR(__xludf.DUMMYFUNCTION("TO_PERCENT(C198/L198-M198)"),0.1999999999999993)</f>
        <v>0.2</v>
      </c>
      <c r="O198" s="101">
        <v>600.0</v>
      </c>
      <c r="P198" s="102">
        <f t="shared" si="154"/>
        <v>0</v>
      </c>
      <c r="Q198" s="136">
        <f>IFERROR(__xludf.DUMMYFUNCTION("TO_PERCENT($C198*$AJ$18/$AG$18/O198-P198)"),0.7592307692307693)</f>
        <v>0.7592307692</v>
      </c>
      <c r="R198" s="136">
        <v>0.15</v>
      </c>
      <c r="S198" s="140">
        <f t="shared" si="155"/>
        <v>97.17611538</v>
      </c>
      <c r="T198" s="102"/>
      <c r="U198" s="136">
        <v>0.1</v>
      </c>
      <c r="V198" s="140">
        <f t="shared" si="156"/>
        <v>16.92</v>
      </c>
      <c r="W198" s="102"/>
      <c r="X198" s="136">
        <v>0.1</v>
      </c>
      <c r="Y198" s="140">
        <f t="shared" si="157"/>
        <v>2.82</v>
      </c>
      <c r="Z198" s="102"/>
      <c r="AA198" s="136">
        <v>0.25</v>
      </c>
      <c r="AB198" s="141">
        <f t="shared" si="158"/>
        <v>0.1898076923</v>
      </c>
      <c r="AC198" s="102"/>
      <c r="AD198" s="102"/>
      <c r="AE198" s="134"/>
      <c r="AF198" s="134"/>
      <c r="AG198" s="134"/>
      <c r="AH198" s="134"/>
      <c r="AI198" s="134"/>
      <c r="AJ198" s="134"/>
      <c r="AK198" s="134"/>
    </row>
    <row r="199">
      <c r="A199" s="101" t="s">
        <v>131</v>
      </c>
      <c r="B199" s="101" t="s">
        <v>1627</v>
      </c>
      <c r="C199" s="101">
        <v>20.0</v>
      </c>
      <c r="D199" s="101">
        <v>0.0</v>
      </c>
      <c r="E199" s="101">
        <v>0.0</v>
      </c>
      <c r="F199" s="101">
        <v>0.0</v>
      </c>
      <c r="G199" s="102">
        <f t="shared" si="150"/>
        <v>0</v>
      </c>
      <c r="H199" s="102">
        <f t="shared" si="151"/>
        <v>0</v>
      </c>
      <c r="I199" s="104">
        <v>0.0</v>
      </c>
      <c r="J199" s="101">
        <v>0.0</v>
      </c>
      <c r="K199" s="136">
        <v>0.0</v>
      </c>
      <c r="L199" s="101">
        <v>1.0</v>
      </c>
      <c r="M199" s="101">
        <v>20.0</v>
      </c>
      <c r="N199" s="136">
        <v>0.0</v>
      </c>
      <c r="O199" s="104">
        <v>0.0</v>
      </c>
      <c r="P199" s="101">
        <v>0.0</v>
      </c>
      <c r="Q199" s="136">
        <v>0.0</v>
      </c>
      <c r="R199" s="136">
        <v>0.15</v>
      </c>
      <c r="S199" s="140">
        <f t="shared" si="155"/>
        <v>0</v>
      </c>
      <c r="T199" s="102"/>
      <c r="U199" s="136">
        <v>0.1</v>
      </c>
      <c r="V199" s="140">
        <f t="shared" si="156"/>
        <v>0</v>
      </c>
      <c r="W199" s="102"/>
      <c r="X199" s="136">
        <v>0.1</v>
      </c>
      <c r="Y199" s="140">
        <f t="shared" si="157"/>
        <v>2</v>
      </c>
      <c r="Z199" s="102"/>
      <c r="AA199" s="136">
        <v>0.25</v>
      </c>
      <c r="AB199" s="141">
        <f t="shared" si="158"/>
        <v>0</v>
      </c>
      <c r="AC199" s="102"/>
      <c r="AD199" s="102"/>
      <c r="AE199" s="134"/>
      <c r="AF199" s="134"/>
      <c r="AG199" s="134"/>
      <c r="AH199" s="134"/>
      <c r="AI199" s="134"/>
      <c r="AJ199" s="134"/>
      <c r="AK199" s="134"/>
    </row>
    <row r="200">
      <c r="A200" s="101" t="s">
        <v>223</v>
      </c>
      <c r="B200" s="101"/>
      <c r="C200" s="101">
        <v>129.0</v>
      </c>
      <c r="D200" s="101">
        <v>5.0</v>
      </c>
      <c r="E200" s="101">
        <v>5.0</v>
      </c>
      <c r="F200" s="101">
        <v>5.0</v>
      </c>
      <c r="G200" s="102">
        <f t="shared" si="150"/>
        <v>645</v>
      </c>
      <c r="H200" s="102">
        <f t="shared" si="151"/>
        <v>645</v>
      </c>
      <c r="I200" s="101">
        <v>6.0</v>
      </c>
      <c r="J200" s="102">
        <f t="shared" ref="J200:J202" si="160">ROUNDDOWN(C200/I200,0)</f>
        <v>21</v>
      </c>
      <c r="K200" s="136">
        <f>IFERROR(__xludf.DUMMYFUNCTION("TO_PERCENT(C200/I200-J200)"),0.5)</f>
        <v>0.5</v>
      </c>
      <c r="L200" s="101">
        <v>50.0</v>
      </c>
      <c r="M200" s="102">
        <f t="shared" ref="M200:M202" si="161">ROUNDDOWN(C200/L200,0)</f>
        <v>2</v>
      </c>
      <c r="N200" s="136">
        <f>IFERROR(__xludf.DUMMYFUNCTION("TO_PERCENT(C200/L200-M200)"),0.5800000000000001)</f>
        <v>0.58</v>
      </c>
      <c r="O200" s="101">
        <v>8000.0</v>
      </c>
      <c r="P200" s="102">
        <f>ROUNDDOWN($C200*$AJ$18/$AG$18/O200,0)</f>
        <v>0</v>
      </c>
      <c r="Q200" s="136">
        <f>IFERROR(__xludf.DUMMYFUNCTION("TO_PERCENT($C200*$AJ$18/$AG$18/O200-P200)"),0.008682692307692308)</f>
        <v>0.008682692308</v>
      </c>
      <c r="R200" s="136">
        <v>0.15</v>
      </c>
      <c r="S200" s="140">
        <f t="shared" si="155"/>
        <v>15.7366976</v>
      </c>
      <c r="T200" s="102"/>
      <c r="U200" s="136">
        <v>0.1</v>
      </c>
      <c r="V200" s="140">
        <f t="shared" si="156"/>
        <v>2.15</v>
      </c>
      <c r="W200" s="102"/>
      <c r="X200" s="136">
        <v>0.1</v>
      </c>
      <c r="Y200" s="140">
        <f t="shared" si="157"/>
        <v>0.258</v>
      </c>
      <c r="Z200" s="102"/>
      <c r="AA200" s="136">
        <v>0.25</v>
      </c>
      <c r="AB200" s="141">
        <f t="shared" si="158"/>
        <v>0.002170673077</v>
      </c>
      <c r="AC200" s="102"/>
      <c r="AD200" s="102"/>
      <c r="AE200" s="134"/>
      <c r="AF200" s="134"/>
      <c r="AG200" s="134"/>
      <c r="AH200" s="134"/>
      <c r="AI200" s="134"/>
      <c r="AJ200" s="134"/>
      <c r="AK200" s="134"/>
    </row>
    <row r="201">
      <c r="A201" s="101" t="s">
        <v>1632</v>
      </c>
      <c r="B201" s="101"/>
      <c r="C201" s="101">
        <v>258.0</v>
      </c>
      <c r="D201" s="101">
        <v>0.0</v>
      </c>
      <c r="E201" s="101">
        <v>7.0</v>
      </c>
      <c r="F201" s="101">
        <v>7.0</v>
      </c>
      <c r="G201" s="102">
        <f t="shared" si="150"/>
        <v>1806</v>
      </c>
      <c r="H201" s="102">
        <f t="shared" si="151"/>
        <v>1806</v>
      </c>
      <c r="I201" s="101">
        <v>5.0</v>
      </c>
      <c r="J201" s="102">
        <f t="shared" si="160"/>
        <v>51</v>
      </c>
      <c r="K201" s="136">
        <f>IFERROR(__xludf.DUMMYFUNCTION("TO_PERCENT(C201/I201-J201)"),0.6000000000000014)</f>
        <v>0.6</v>
      </c>
      <c r="L201" s="101">
        <v>30.0</v>
      </c>
      <c r="M201" s="102">
        <f t="shared" si="161"/>
        <v>8</v>
      </c>
      <c r="N201" s="136">
        <f>IFERROR(__xludf.DUMMYFUNCTION("TO_PERCENT(C201/L201-M201)"),0.5999999999999996)</f>
        <v>0.6</v>
      </c>
      <c r="O201" s="101">
        <v>1600.0</v>
      </c>
      <c r="P201" s="104">
        <v>0.0</v>
      </c>
      <c r="Q201" s="136">
        <v>0.1</v>
      </c>
      <c r="R201" s="136">
        <v>0.15</v>
      </c>
      <c r="S201" s="140">
        <f t="shared" si="155"/>
        <v>29.655</v>
      </c>
      <c r="T201" s="102"/>
      <c r="U201" s="136">
        <v>0.1</v>
      </c>
      <c r="V201" s="140">
        <f t="shared" si="156"/>
        <v>5.16</v>
      </c>
      <c r="W201" s="102"/>
      <c r="X201" s="136">
        <v>0.1</v>
      </c>
      <c r="Y201" s="140">
        <f t="shared" si="157"/>
        <v>0.86</v>
      </c>
      <c r="Z201" s="102"/>
      <c r="AA201" s="136">
        <v>0.25</v>
      </c>
      <c r="AB201" s="141">
        <f t="shared" si="158"/>
        <v>0.025</v>
      </c>
      <c r="AC201" s="102"/>
      <c r="AD201" s="102"/>
      <c r="AE201" s="134"/>
      <c r="AF201" s="134"/>
      <c r="AG201" s="134"/>
      <c r="AH201" s="134"/>
      <c r="AI201" s="134"/>
      <c r="AJ201" s="134"/>
      <c r="AK201" s="134"/>
    </row>
    <row r="202">
      <c r="A202" s="101" t="s">
        <v>1643</v>
      </c>
      <c r="B202" s="101"/>
      <c r="C202" s="101">
        <v>360.0</v>
      </c>
      <c r="D202" s="101">
        <v>0.0</v>
      </c>
      <c r="E202" s="101">
        <v>12.0</v>
      </c>
      <c r="F202" s="101">
        <v>12.0</v>
      </c>
      <c r="G202" s="102">
        <f t="shared" si="150"/>
        <v>4320</v>
      </c>
      <c r="H202" s="102">
        <f t="shared" si="151"/>
        <v>4320</v>
      </c>
      <c r="I202" s="101">
        <v>5.0</v>
      </c>
      <c r="J202" s="102">
        <f t="shared" si="160"/>
        <v>72</v>
      </c>
      <c r="K202" s="136">
        <f>IFERROR(__xludf.DUMMYFUNCTION("TO_PERCENT(C202/I202-J202)"),0.0)</f>
        <v>0</v>
      </c>
      <c r="L202" s="101">
        <v>15.0</v>
      </c>
      <c r="M202" s="102">
        <f t="shared" si="161"/>
        <v>24</v>
      </c>
      <c r="N202" s="136">
        <f>IFERROR(__xludf.DUMMYFUNCTION("TO_PERCENT(C202/L202-M202)"),0.0)</f>
        <v>0</v>
      </c>
      <c r="O202" s="101">
        <v>400.0</v>
      </c>
      <c r="P202" s="104">
        <v>1.0</v>
      </c>
      <c r="Q202" s="136">
        <v>0.0</v>
      </c>
      <c r="R202" s="102"/>
      <c r="S202" s="140"/>
      <c r="T202" s="101">
        <v>64.0</v>
      </c>
      <c r="U202" s="102"/>
      <c r="V202" s="140"/>
      <c r="W202" s="101">
        <v>18.0</v>
      </c>
      <c r="X202" s="102"/>
      <c r="Y202" s="140"/>
      <c r="Z202" s="101">
        <v>6.0</v>
      </c>
      <c r="AA202" s="102"/>
      <c r="AB202" s="141"/>
      <c r="AC202" s="101">
        <v>1.0</v>
      </c>
      <c r="AD202" s="102"/>
      <c r="AE202" s="134"/>
      <c r="AF202" s="134"/>
      <c r="AG202" s="134"/>
      <c r="AH202" s="134"/>
      <c r="AI202" s="134"/>
      <c r="AJ202" s="134"/>
      <c r="AK202" s="134"/>
    </row>
    <row r="203">
      <c r="A203" s="101" t="s">
        <v>1634</v>
      </c>
      <c r="B203" s="101" t="s">
        <v>1622</v>
      </c>
      <c r="C203" s="101">
        <v>0.0</v>
      </c>
      <c r="D203" s="101">
        <v>0.0</v>
      </c>
      <c r="E203" s="101"/>
      <c r="F203" s="101"/>
      <c r="G203" s="101">
        <v>1000.0</v>
      </c>
      <c r="H203" s="101">
        <v>2000.0</v>
      </c>
      <c r="I203" s="101"/>
      <c r="J203" s="102"/>
      <c r="K203" s="136"/>
      <c r="L203" s="101"/>
      <c r="M203" s="102"/>
      <c r="N203" s="136"/>
      <c r="O203" s="101"/>
      <c r="P203" s="104"/>
      <c r="Q203" s="136"/>
      <c r="R203" s="102"/>
      <c r="S203" s="140"/>
      <c r="T203" s="101"/>
      <c r="U203" s="102"/>
      <c r="V203" s="140"/>
      <c r="W203" s="101"/>
      <c r="X203" s="102"/>
      <c r="Y203" s="140"/>
      <c r="Z203" s="101"/>
      <c r="AA203" s="102"/>
      <c r="AB203" s="141"/>
      <c r="AC203" s="101"/>
      <c r="AD203" s="102"/>
      <c r="AE203" s="134"/>
      <c r="AF203" s="134"/>
      <c r="AG203" s="134"/>
      <c r="AH203" s="134"/>
      <c r="AI203" s="134"/>
      <c r="AJ203" s="134"/>
      <c r="AK203" s="134"/>
    </row>
    <row r="204">
      <c r="A204" s="101" t="s">
        <v>1635</v>
      </c>
      <c r="B204" s="101" t="s">
        <v>1625</v>
      </c>
      <c r="C204" s="101">
        <v>0.0</v>
      </c>
      <c r="D204" s="101">
        <v>0.0</v>
      </c>
      <c r="E204" s="101"/>
      <c r="F204" s="101"/>
      <c r="G204" s="101">
        <v>2000.0</v>
      </c>
      <c r="H204" s="101">
        <v>5000.0</v>
      </c>
      <c r="I204" s="101"/>
      <c r="J204" s="102"/>
      <c r="K204" s="136"/>
      <c r="L204" s="101"/>
      <c r="M204" s="102"/>
      <c r="N204" s="136"/>
      <c r="O204" s="101"/>
      <c r="P204" s="104"/>
      <c r="Q204" s="136"/>
      <c r="R204" s="102"/>
      <c r="S204" s="140"/>
      <c r="T204" s="101"/>
      <c r="U204" s="102"/>
      <c r="V204" s="140"/>
      <c r="W204" s="101"/>
      <c r="X204" s="102"/>
      <c r="Y204" s="140"/>
      <c r="Z204" s="101"/>
      <c r="AA204" s="102"/>
      <c r="AB204" s="141"/>
      <c r="AC204" s="101"/>
      <c r="AD204" s="102"/>
      <c r="AE204" s="134"/>
      <c r="AF204" s="134"/>
      <c r="AG204" s="134"/>
      <c r="AH204" s="134"/>
      <c r="AI204" s="134"/>
      <c r="AJ204" s="134"/>
      <c r="AK204" s="134"/>
    </row>
    <row r="205">
      <c r="A205" s="101" t="s">
        <v>1636</v>
      </c>
      <c r="B205" s="101" t="s">
        <v>1627</v>
      </c>
      <c r="C205" s="101">
        <v>0.0</v>
      </c>
      <c r="D205" s="101">
        <v>0.0</v>
      </c>
      <c r="E205" s="101"/>
      <c r="F205" s="101"/>
      <c r="G205" s="101">
        <v>7500.0</v>
      </c>
      <c r="H205" s="101">
        <v>12500.0</v>
      </c>
      <c r="I205" s="101"/>
      <c r="J205" s="102"/>
      <c r="K205" s="136"/>
      <c r="L205" s="101"/>
      <c r="M205" s="102"/>
      <c r="N205" s="136"/>
      <c r="O205" s="101"/>
      <c r="P205" s="104"/>
      <c r="Q205" s="136"/>
      <c r="R205" s="102"/>
      <c r="S205" s="140"/>
      <c r="T205" s="101"/>
      <c r="U205" s="102"/>
      <c r="V205" s="140"/>
      <c r="W205" s="101"/>
      <c r="X205" s="102"/>
      <c r="Y205" s="140"/>
      <c r="Z205" s="101"/>
      <c r="AA205" s="102"/>
      <c r="AB205" s="141"/>
      <c r="AC205" s="101"/>
      <c r="AD205" s="102"/>
      <c r="AE205" s="134"/>
      <c r="AF205" s="134"/>
      <c r="AG205" s="134"/>
      <c r="AH205" s="134"/>
      <c r="AI205" s="134"/>
      <c r="AJ205" s="134"/>
      <c r="AK205" s="134"/>
    </row>
    <row r="206">
      <c r="A206" s="135" t="s">
        <v>1650</v>
      </c>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5"/>
      <c r="AE206" s="134"/>
      <c r="AF206" s="134"/>
      <c r="AG206" s="134"/>
      <c r="AH206" s="134"/>
      <c r="AI206" s="134"/>
      <c r="AJ206" s="134"/>
      <c r="AK206" s="134"/>
    </row>
    <row r="207">
      <c r="A207" s="101" t="s">
        <v>1621</v>
      </c>
      <c r="B207" s="101" t="s">
        <v>1622</v>
      </c>
      <c r="C207" s="101">
        <f t="shared" ref="C207:C209" si="162">ROUND(C12*5,0)</f>
        <v>20</v>
      </c>
      <c r="D207" s="101">
        <v>0.0</v>
      </c>
      <c r="E207" s="101">
        <v>7.0</v>
      </c>
      <c r="F207" s="101">
        <v>8.0</v>
      </c>
      <c r="G207" s="102">
        <f t="shared" ref="G207:G217" si="163">E207*C207</f>
        <v>140</v>
      </c>
      <c r="H207" s="102">
        <f t="shared" ref="H207:H217" si="164">F207*C207</f>
        <v>160</v>
      </c>
      <c r="I207" s="101">
        <v>9.0</v>
      </c>
      <c r="J207" s="102">
        <f t="shared" ref="J207:J213" si="165">ROUNDDOWN(C207/I207,0)</f>
        <v>2</v>
      </c>
      <c r="K207" s="136">
        <f>IFERROR(__xludf.DUMMYFUNCTION("TO_PERCENT(C207/I207-J207)"),0.22222222222222232)</f>
        <v>0.2222222222</v>
      </c>
      <c r="L207" s="101">
        <v>500.0</v>
      </c>
      <c r="M207" s="102">
        <f t="shared" ref="M207:M213" si="166">ROUNDDOWN(C207/L207,0)</f>
        <v>0</v>
      </c>
      <c r="N207" s="136">
        <f>IFERROR(__xludf.DUMMYFUNCTION("TO_PERCENT(C207/L207-M207)"),0.04)</f>
        <v>0.04</v>
      </c>
      <c r="O207" s="101">
        <v>10000.0</v>
      </c>
      <c r="P207" s="102">
        <f t="shared" ref="P207:P213" si="167">ROUNDDOWN($C207*$AJ$19/$AG$19/O207,0)</f>
        <v>0</v>
      </c>
      <c r="Q207" s="136">
        <f>IFERROR(__xludf.DUMMYFUNCTION("TO_PERCENT($C207*$AJ$19/$AG$19/O207-P207)"),0.0011851851851851852)</f>
        <v>0.001185185185</v>
      </c>
      <c r="R207" s="136">
        <v>0.15</v>
      </c>
      <c r="S207" s="140">
        <f t="shared" ref="S207:S216" si="168">R207*(C207-J207-K207-M207-N207-P207-Q207)</f>
        <v>2.660488889</v>
      </c>
      <c r="T207" s="102"/>
      <c r="U207" s="136">
        <v>0.1</v>
      </c>
      <c r="V207" s="140">
        <f t="shared" ref="V207:V216" si="169">U207*(J207+K207)</f>
        <v>0.2222222222</v>
      </c>
      <c r="W207" s="102"/>
      <c r="X207" s="136">
        <v>0.1</v>
      </c>
      <c r="Y207" s="140">
        <f t="shared" ref="Y207:Y216" si="170">X207*(M207+N207)</f>
        <v>0.004</v>
      </c>
      <c r="Z207" s="102"/>
      <c r="AA207" s="136">
        <v>0.25</v>
      </c>
      <c r="AB207" s="141">
        <f t="shared" ref="AB207:AB216" si="171">AA207*(P207+Q207)</f>
        <v>0.0002962962963</v>
      </c>
      <c r="AC207" s="102"/>
      <c r="AD207" s="102"/>
      <c r="AE207" s="134"/>
      <c r="AF207" s="134"/>
      <c r="AG207" s="134"/>
      <c r="AH207" s="134"/>
      <c r="AI207" s="134"/>
      <c r="AJ207" s="134"/>
      <c r="AK207" s="134"/>
    </row>
    <row r="208">
      <c r="A208" s="101" t="s">
        <v>1624</v>
      </c>
      <c r="B208" s="101" t="s">
        <v>1625</v>
      </c>
      <c r="C208" s="101">
        <f t="shared" si="162"/>
        <v>40</v>
      </c>
      <c r="D208" s="101">
        <v>0.0</v>
      </c>
      <c r="E208" s="101">
        <v>14.0</v>
      </c>
      <c r="F208" s="101">
        <v>16.0</v>
      </c>
      <c r="G208" s="102">
        <f t="shared" si="163"/>
        <v>560</v>
      </c>
      <c r="H208" s="102">
        <f t="shared" si="164"/>
        <v>640</v>
      </c>
      <c r="I208" s="101">
        <v>4.0</v>
      </c>
      <c r="J208" s="102">
        <f t="shared" si="165"/>
        <v>10</v>
      </c>
      <c r="K208" s="136">
        <f>IFERROR(__xludf.DUMMYFUNCTION("TO_PERCENT(C208/I208-J208)"),0.0)</f>
        <v>0</v>
      </c>
      <c r="L208" s="101">
        <v>200.0</v>
      </c>
      <c r="M208" s="102">
        <f t="shared" si="166"/>
        <v>0</v>
      </c>
      <c r="N208" s="136">
        <f>IFERROR(__xludf.DUMMYFUNCTION("TO_PERCENT(C208/L208-M208)"),0.2)</f>
        <v>0.2</v>
      </c>
      <c r="O208" s="101">
        <v>4000.0</v>
      </c>
      <c r="P208" s="102">
        <f t="shared" si="167"/>
        <v>0</v>
      </c>
      <c r="Q208" s="136">
        <f>IFERROR(__xludf.DUMMYFUNCTION("TO_PERCENT($C208*$AJ$19/$AG$19/O208-P208)"),0.005925925925925926)</f>
        <v>0.005925925926</v>
      </c>
      <c r="R208" s="136">
        <v>0.15</v>
      </c>
      <c r="S208" s="140">
        <f t="shared" si="168"/>
        <v>4.469111111</v>
      </c>
      <c r="T208" s="102"/>
      <c r="U208" s="136">
        <v>0.1</v>
      </c>
      <c r="V208" s="140">
        <f t="shared" si="169"/>
        <v>1</v>
      </c>
      <c r="W208" s="102"/>
      <c r="X208" s="136">
        <v>0.1</v>
      </c>
      <c r="Y208" s="140">
        <f t="shared" si="170"/>
        <v>0.02</v>
      </c>
      <c r="Z208" s="102"/>
      <c r="AA208" s="136">
        <v>0.25</v>
      </c>
      <c r="AB208" s="141">
        <f t="shared" si="171"/>
        <v>0.001481481481</v>
      </c>
      <c r="AC208" s="102"/>
      <c r="AD208" s="102"/>
      <c r="AE208" s="134"/>
      <c r="AF208" s="134"/>
      <c r="AG208" s="134"/>
      <c r="AH208" s="134"/>
      <c r="AI208" s="134"/>
      <c r="AJ208" s="134"/>
      <c r="AK208" s="134"/>
    </row>
    <row r="209">
      <c r="A209" s="101" t="s">
        <v>1626</v>
      </c>
      <c r="B209" s="101" t="s">
        <v>1627</v>
      </c>
      <c r="C209" s="101">
        <f t="shared" si="162"/>
        <v>100</v>
      </c>
      <c r="D209" s="101">
        <v>0.0</v>
      </c>
      <c r="E209" s="101">
        <v>16.0</v>
      </c>
      <c r="F209" s="101">
        <v>16.0</v>
      </c>
      <c r="G209" s="102">
        <f t="shared" si="163"/>
        <v>1600</v>
      </c>
      <c r="H209" s="102">
        <f t="shared" si="164"/>
        <v>1600</v>
      </c>
      <c r="I209" s="101">
        <v>5.0</v>
      </c>
      <c r="J209" s="102">
        <f t="shared" si="165"/>
        <v>20</v>
      </c>
      <c r="K209" s="136">
        <f>IFERROR(__xludf.DUMMYFUNCTION("TO_PERCENT(C209/I209-J209)"),0.0)</f>
        <v>0</v>
      </c>
      <c r="L209" s="101">
        <v>10.0</v>
      </c>
      <c r="M209" s="102">
        <f t="shared" si="166"/>
        <v>10</v>
      </c>
      <c r="N209" s="136">
        <f>IFERROR(__xludf.DUMMYFUNCTION("TO_PERCENT(C209/L209-M209)"),0.0)</f>
        <v>0</v>
      </c>
      <c r="O209" s="101">
        <v>300.0</v>
      </c>
      <c r="P209" s="102">
        <f t="shared" si="167"/>
        <v>0</v>
      </c>
      <c r="Q209" s="136">
        <f>IFERROR(__xludf.DUMMYFUNCTION("TO_PERCENT($C209*$AJ$19/$AG$19/O209-P209)"),0.19753086419753085)</f>
        <v>0.1975308642</v>
      </c>
      <c r="R209" s="136">
        <v>0.15</v>
      </c>
      <c r="S209" s="140">
        <f t="shared" si="168"/>
        <v>10.47037037</v>
      </c>
      <c r="T209" s="102"/>
      <c r="U209" s="136">
        <v>0.1</v>
      </c>
      <c r="V209" s="140">
        <f t="shared" si="169"/>
        <v>2</v>
      </c>
      <c r="W209" s="102"/>
      <c r="X209" s="136">
        <v>0.1</v>
      </c>
      <c r="Y209" s="140">
        <f t="shared" si="170"/>
        <v>1</v>
      </c>
      <c r="Z209" s="102"/>
      <c r="AA209" s="136">
        <v>0.25</v>
      </c>
      <c r="AB209" s="141">
        <f t="shared" si="171"/>
        <v>0.04938271605</v>
      </c>
      <c r="AC209" s="102"/>
      <c r="AD209" s="102"/>
      <c r="AE209" s="134"/>
      <c r="AF209" s="134"/>
      <c r="AG209" s="134"/>
      <c r="AH209" s="134"/>
      <c r="AI209" s="134"/>
      <c r="AJ209" s="134"/>
      <c r="AK209" s="134"/>
    </row>
    <row r="210">
      <c r="A210" s="101" t="s">
        <v>1628</v>
      </c>
      <c r="B210" s="102"/>
      <c r="C210" s="101">
        <v>16.0</v>
      </c>
      <c r="D210" s="101">
        <v>0.0</v>
      </c>
      <c r="E210" s="101">
        <v>7.0</v>
      </c>
      <c r="F210" s="101">
        <v>8.0</v>
      </c>
      <c r="G210" s="102">
        <f t="shared" si="163"/>
        <v>112</v>
      </c>
      <c r="H210" s="102">
        <f t="shared" si="164"/>
        <v>128</v>
      </c>
      <c r="I210" s="101">
        <v>10.0</v>
      </c>
      <c r="J210" s="102">
        <f t="shared" si="165"/>
        <v>1</v>
      </c>
      <c r="K210" s="136">
        <f>IFERROR(__xludf.DUMMYFUNCTION("TO_PERCENT(C210/I210-J210)"),0.6000000000000001)</f>
        <v>0.6</v>
      </c>
      <c r="L210" s="101">
        <v>200.0</v>
      </c>
      <c r="M210" s="102">
        <f t="shared" si="166"/>
        <v>0</v>
      </c>
      <c r="N210" s="136">
        <f>IFERROR(__xludf.DUMMYFUNCTION("TO_PERCENT(C210/L210-M210)"),0.08)</f>
        <v>0.08</v>
      </c>
      <c r="O210" s="101">
        <v>4000.0</v>
      </c>
      <c r="P210" s="102">
        <f t="shared" si="167"/>
        <v>0</v>
      </c>
      <c r="Q210" s="136">
        <f>IFERROR(__xludf.DUMMYFUNCTION("TO_PERCENT($C210*$AJ$19/$AG$19/O210-P210)"),0.0023703703703703703)</f>
        <v>0.00237037037</v>
      </c>
      <c r="R210" s="136">
        <v>0.15</v>
      </c>
      <c r="S210" s="140">
        <f t="shared" si="168"/>
        <v>2.147644444</v>
      </c>
      <c r="T210" s="102"/>
      <c r="U210" s="136">
        <v>0.1</v>
      </c>
      <c r="V210" s="140">
        <f t="shared" si="169"/>
        <v>0.16</v>
      </c>
      <c r="W210" s="102"/>
      <c r="X210" s="136">
        <v>0.1</v>
      </c>
      <c r="Y210" s="140">
        <f t="shared" si="170"/>
        <v>0.008</v>
      </c>
      <c r="Z210" s="102"/>
      <c r="AA210" s="136">
        <v>0.25</v>
      </c>
      <c r="AB210" s="141">
        <f t="shared" si="171"/>
        <v>0.0005925925926</v>
      </c>
      <c r="AC210" s="102"/>
      <c r="AD210" s="102"/>
      <c r="AE210" s="134"/>
      <c r="AF210" s="134"/>
      <c r="AG210" s="134"/>
      <c r="AH210" s="134"/>
      <c r="AI210" s="134"/>
      <c r="AJ210" s="134"/>
      <c r="AK210" s="134"/>
    </row>
    <row r="211">
      <c r="A211" s="101" t="s">
        <v>1629</v>
      </c>
      <c r="B211" s="102"/>
      <c r="C211" s="101">
        <f t="shared" ref="C211:C213" si="172">ROUND(C16*5,0)</f>
        <v>80</v>
      </c>
      <c r="D211" s="101">
        <v>0.0</v>
      </c>
      <c r="E211" s="101">
        <v>14.0</v>
      </c>
      <c r="F211" s="101">
        <v>16.0</v>
      </c>
      <c r="G211" s="102">
        <f t="shared" si="163"/>
        <v>1120</v>
      </c>
      <c r="H211" s="102">
        <f t="shared" si="164"/>
        <v>1280</v>
      </c>
      <c r="I211" s="101">
        <v>6.0</v>
      </c>
      <c r="J211" s="102">
        <f t="shared" si="165"/>
        <v>13</v>
      </c>
      <c r="K211" s="136">
        <f>IFERROR(__xludf.DUMMYFUNCTION("TO_PERCENT(C211/I211-J211)"),0.3333333333333339)</f>
        <v>0.3333333333</v>
      </c>
      <c r="L211" s="101">
        <v>120.0</v>
      </c>
      <c r="M211" s="102">
        <f t="shared" si="166"/>
        <v>0</v>
      </c>
      <c r="N211" s="136">
        <f>IFERROR(__xludf.DUMMYFUNCTION("TO_PERCENT(C211/L211-M211)"),0.6666666666666666)</f>
        <v>0.6666666667</v>
      </c>
      <c r="O211" s="101">
        <v>2400.0</v>
      </c>
      <c r="P211" s="102">
        <f t="shared" si="167"/>
        <v>0</v>
      </c>
      <c r="Q211" s="136">
        <f>IFERROR(__xludf.DUMMYFUNCTION("TO_PERCENT($C211*$AJ$19/$AG$19/O211-P211)"),0.019753086419753086)</f>
        <v>0.01975308642</v>
      </c>
      <c r="R211" s="136">
        <v>0.15</v>
      </c>
      <c r="S211" s="140">
        <f t="shared" si="168"/>
        <v>9.897037037</v>
      </c>
      <c r="T211" s="102"/>
      <c r="U211" s="136">
        <v>0.1</v>
      </c>
      <c r="V211" s="140">
        <f t="shared" si="169"/>
        <v>1.333333333</v>
      </c>
      <c r="W211" s="102"/>
      <c r="X211" s="136">
        <v>0.1</v>
      </c>
      <c r="Y211" s="140">
        <f t="shared" si="170"/>
        <v>0.06666666667</v>
      </c>
      <c r="Z211" s="102"/>
      <c r="AA211" s="136">
        <v>0.25</v>
      </c>
      <c r="AB211" s="141">
        <f t="shared" si="171"/>
        <v>0.004938271605</v>
      </c>
      <c r="AC211" s="102"/>
      <c r="AD211" s="102"/>
      <c r="AE211" s="134"/>
      <c r="AF211" s="134"/>
      <c r="AG211" s="134"/>
      <c r="AH211" s="134"/>
      <c r="AI211" s="134"/>
      <c r="AJ211" s="134"/>
      <c r="AK211" s="134"/>
    </row>
    <row r="212">
      <c r="A212" s="101" t="s">
        <v>107</v>
      </c>
      <c r="B212" s="101" t="s">
        <v>1627</v>
      </c>
      <c r="C212" s="101">
        <f t="shared" si="172"/>
        <v>350</v>
      </c>
      <c r="D212" s="101">
        <v>0.0</v>
      </c>
      <c r="E212" s="101">
        <v>9.0</v>
      </c>
      <c r="F212" s="101">
        <v>9.0</v>
      </c>
      <c r="G212" s="102">
        <f t="shared" si="163"/>
        <v>3150</v>
      </c>
      <c r="H212" s="102">
        <f t="shared" si="164"/>
        <v>3150</v>
      </c>
      <c r="I212" s="101">
        <v>5.0</v>
      </c>
      <c r="J212" s="102">
        <f t="shared" si="165"/>
        <v>70</v>
      </c>
      <c r="K212" s="136">
        <f>IFERROR(__xludf.DUMMYFUNCTION("TO_PERCENT(C212/I212-J212)"),0.0)</f>
        <v>0</v>
      </c>
      <c r="L212" s="101">
        <v>500.0</v>
      </c>
      <c r="M212" s="102">
        <f t="shared" si="166"/>
        <v>0</v>
      </c>
      <c r="N212" s="136">
        <f>IFERROR(__xludf.DUMMYFUNCTION("TO_PERCENT(C212/L212-M212)"),0.7)</f>
        <v>0.7</v>
      </c>
      <c r="O212" s="101">
        <v>10000.0</v>
      </c>
      <c r="P212" s="102">
        <f t="shared" si="167"/>
        <v>0</v>
      </c>
      <c r="Q212" s="136">
        <f>IFERROR(__xludf.DUMMYFUNCTION("TO_PERCENT($C212*$AJ$19/$AG$19/O212-P212)"),0.020740740740740744)</f>
        <v>0.02074074074</v>
      </c>
      <c r="R212" s="136">
        <v>0.15</v>
      </c>
      <c r="S212" s="140">
        <f t="shared" si="168"/>
        <v>41.89188889</v>
      </c>
      <c r="T212" s="102"/>
      <c r="U212" s="136">
        <v>0.1</v>
      </c>
      <c r="V212" s="140">
        <f t="shared" si="169"/>
        <v>7</v>
      </c>
      <c r="W212" s="102"/>
      <c r="X212" s="136">
        <v>0.1</v>
      </c>
      <c r="Y212" s="140">
        <f t="shared" si="170"/>
        <v>0.07</v>
      </c>
      <c r="Z212" s="102"/>
      <c r="AA212" s="136">
        <v>0.25</v>
      </c>
      <c r="AB212" s="141">
        <f t="shared" si="171"/>
        <v>0.005185185185</v>
      </c>
      <c r="AC212" s="102"/>
      <c r="AD212" s="102"/>
      <c r="AE212" s="134"/>
      <c r="AF212" s="134"/>
      <c r="AG212" s="134"/>
      <c r="AH212" s="134"/>
      <c r="AI212" s="134"/>
      <c r="AJ212" s="134"/>
      <c r="AK212" s="134"/>
    </row>
    <row r="213">
      <c r="A213" s="101" t="s">
        <v>1630</v>
      </c>
      <c r="B213" s="101" t="s">
        <v>1631</v>
      </c>
      <c r="C213" s="101">
        <f t="shared" si="172"/>
        <v>900</v>
      </c>
      <c r="D213" s="101">
        <v>9.0</v>
      </c>
      <c r="E213" s="101">
        <v>9.0</v>
      </c>
      <c r="F213" s="101">
        <v>9.0</v>
      </c>
      <c r="G213" s="102">
        <f t="shared" si="163"/>
        <v>8100</v>
      </c>
      <c r="H213" s="102">
        <f t="shared" si="164"/>
        <v>8100</v>
      </c>
      <c r="I213" s="101">
        <v>5.0</v>
      </c>
      <c r="J213" s="102">
        <f t="shared" si="165"/>
        <v>180</v>
      </c>
      <c r="K213" s="136">
        <f>IFERROR(__xludf.DUMMYFUNCTION("TO_PERCENT(C213/I213-J213)"),0.0)</f>
        <v>0</v>
      </c>
      <c r="L213" s="101">
        <v>30.0</v>
      </c>
      <c r="M213" s="102">
        <f t="shared" si="166"/>
        <v>30</v>
      </c>
      <c r="N213" s="136">
        <f>IFERROR(__xludf.DUMMYFUNCTION("TO_PERCENT(C213/L213-M213)"),0.0)</f>
        <v>0</v>
      </c>
      <c r="O213" s="101">
        <v>600.0</v>
      </c>
      <c r="P213" s="102">
        <f t="shared" si="167"/>
        <v>0</v>
      </c>
      <c r="Q213" s="136">
        <f>IFERROR(__xludf.DUMMYFUNCTION("TO_PERCENT($C213*$AJ$19/$AG$19/O213-P213)"),0.888888888888889)</f>
        <v>0.8888888889</v>
      </c>
      <c r="R213" s="136">
        <v>0.15</v>
      </c>
      <c r="S213" s="140">
        <f t="shared" si="168"/>
        <v>103.3666667</v>
      </c>
      <c r="T213" s="102"/>
      <c r="U213" s="136">
        <v>0.1</v>
      </c>
      <c r="V213" s="140">
        <f t="shared" si="169"/>
        <v>18</v>
      </c>
      <c r="W213" s="102"/>
      <c r="X213" s="136">
        <v>0.1</v>
      </c>
      <c r="Y213" s="140">
        <f t="shared" si="170"/>
        <v>3</v>
      </c>
      <c r="Z213" s="102"/>
      <c r="AA213" s="136">
        <v>0.25</v>
      </c>
      <c r="AB213" s="141">
        <f t="shared" si="171"/>
        <v>0.2222222222</v>
      </c>
      <c r="AC213" s="102"/>
      <c r="AD213" s="102"/>
      <c r="AE213" s="134"/>
      <c r="AF213" s="134"/>
      <c r="AG213" s="134"/>
      <c r="AH213" s="134"/>
      <c r="AI213" s="134"/>
      <c r="AJ213" s="134"/>
      <c r="AK213" s="134"/>
    </row>
    <row r="214">
      <c r="A214" s="101" t="s">
        <v>131</v>
      </c>
      <c r="B214" s="101" t="s">
        <v>1627</v>
      </c>
      <c r="C214" s="101">
        <v>20.0</v>
      </c>
      <c r="D214" s="101">
        <v>0.0</v>
      </c>
      <c r="E214" s="101">
        <v>0.0</v>
      </c>
      <c r="F214" s="101">
        <v>0.0</v>
      </c>
      <c r="G214" s="102">
        <f t="shared" si="163"/>
        <v>0</v>
      </c>
      <c r="H214" s="102">
        <f t="shared" si="164"/>
        <v>0</v>
      </c>
      <c r="I214" s="104">
        <v>0.0</v>
      </c>
      <c r="J214" s="101">
        <v>0.0</v>
      </c>
      <c r="K214" s="136">
        <v>0.0</v>
      </c>
      <c r="L214" s="101">
        <v>1.0</v>
      </c>
      <c r="M214" s="101">
        <v>20.0</v>
      </c>
      <c r="N214" s="136">
        <v>0.0</v>
      </c>
      <c r="O214" s="104">
        <v>0.0</v>
      </c>
      <c r="P214" s="101">
        <v>0.0</v>
      </c>
      <c r="Q214" s="136">
        <v>0.0</v>
      </c>
      <c r="R214" s="136">
        <v>0.15</v>
      </c>
      <c r="S214" s="140">
        <f t="shared" si="168"/>
        <v>0</v>
      </c>
      <c r="T214" s="102"/>
      <c r="U214" s="136">
        <v>0.1</v>
      </c>
      <c r="V214" s="140">
        <f t="shared" si="169"/>
        <v>0</v>
      </c>
      <c r="W214" s="102"/>
      <c r="X214" s="136">
        <v>0.1</v>
      </c>
      <c r="Y214" s="140">
        <f t="shared" si="170"/>
        <v>2</v>
      </c>
      <c r="Z214" s="102"/>
      <c r="AA214" s="136">
        <v>0.25</v>
      </c>
      <c r="AB214" s="141">
        <f t="shared" si="171"/>
        <v>0</v>
      </c>
      <c r="AC214" s="102"/>
      <c r="AD214" s="102"/>
      <c r="AE214" s="134"/>
      <c r="AF214" s="134"/>
      <c r="AG214" s="134"/>
      <c r="AH214" s="134"/>
      <c r="AI214" s="134"/>
      <c r="AJ214" s="134"/>
      <c r="AK214" s="134"/>
    </row>
    <row r="215">
      <c r="A215" s="101" t="s">
        <v>223</v>
      </c>
      <c r="B215" s="101"/>
      <c r="C215" s="101">
        <v>133.0</v>
      </c>
      <c r="D215" s="101">
        <v>6.0</v>
      </c>
      <c r="E215" s="101">
        <v>5.0</v>
      </c>
      <c r="F215" s="101">
        <v>5.0</v>
      </c>
      <c r="G215" s="102">
        <f t="shared" si="163"/>
        <v>665</v>
      </c>
      <c r="H215" s="102">
        <f t="shared" si="164"/>
        <v>665</v>
      </c>
      <c r="I215" s="101">
        <v>6.0</v>
      </c>
      <c r="J215" s="102">
        <f t="shared" ref="J215:J217" si="173">ROUNDDOWN(C215/I215,0)</f>
        <v>22</v>
      </c>
      <c r="K215" s="136">
        <f>IFERROR(__xludf.DUMMYFUNCTION("TO_PERCENT(C215/I215-J215)"),0.16666666666666785)</f>
        <v>0.1666666667</v>
      </c>
      <c r="L215" s="101">
        <v>50.0</v>
      </c>
      <c r="M215" s="102">
        <f t="shared" ref="M215:M217" si="174">ROUNDDOWN(C215/L215,0)</f>
        <v>2</v>
      </c>
      <c r="N215" s="136">
        <f>IFERROR(__xludf.DUMMYFUNCTION("TO_PERCENT(C215/L215-M215)"),0.6600000000000001)</f>
        <v>0.66</v>
      </c>
      <c r="O215" s="101">
        <v>8000.0</v>
      </c>
      <c r="P215" s="102">
        <f>ROUNDDOWN($C215*$AJ$19/$AG$19/O215,0)</f>
        <v>0</v>
      </c>
      <c r="Q215" s="136">
        <f>IFERROR(__xludf.DUMMYFUNCTION("TO_PERCENT($C215*$AJ$19/$AG$19/O215-P215)"),0.009851851851851851)</f>
        <v>0.009851851852</v>
      </c>
      <c r="R215" s="136">
        <v>0.15</v>
      </c>
      <c r="S215" s="140">
        <f t="shared" si="168"/>
        <v>16.22452222</v>
      </c>
      <c r="T215" s="102"/>
      <c r="U215" s="136">
        <v>0.1</v>
      </c>
      <c r="V215" s="140">
        <f t="shared" si="169"/>
        <v>2.216666667</v>
      </c>
      <c r="W215" s="102"/>
      <c r="X215" s="136">
        <v>0.1</v>
      </c>
      <c r="Y215" s="140">
        <f t="shared" si="170"/>
        <v>0.266</v>
      </c>
      <c r="Z215" s="102"/>
      <c r="AA215" s="136">
        <v>0.25</v>
      </c>
      <c r="AB215" s="141">
        <f t="shared" si="171"/>
        <v>0.002462962963</v>
      </c>
      <c r="AC215" s="102"/>
      <c r="AD215" s="102"/>
      <c r="AE215" s="134"/>
      <c r="AF215" s="134"/>
      <c r="AG215" s="134"/>
      <c r="AH215" s="134"/>
      <c r="AI215" s="134"/>
      <c r="AJ215" s="134"/>
      <c r="AK215" s="134"/>
    </row>
    <row r="216">
      <c r="A216" s="101" t="s">
        <v>1632</v>
      </c>
      <c r="B216" s="101"/>
      <c r="C216" s="101">
        <v>266.0</v>
      </c>
      <c r="D216" s="101">
        <v>0.0</v>
      </c>
      <c r="E216" s="101">
        <v>7.0</v>
      </c>
      <c r="F216" s="101">
        <v>7.0</v>
      </c>
      <c r="G216" s="102">
        <f t="shared" si="163"/>
        <v>1862</v>
      </c>
      <c r="H216" s="102">
        <f t="shared" si="164"/>
        <v>1862</v>
      </c>
      <c r="I216" s="101">
        <v>5.0</v>
      </c>
      <c r="J216" s="102">
        <f t="shared" si="173"/>
        <v>53</v>
      </c>
      <c r="K216" s="136">
        <f>IFERROR(__xludf.DUMMYFUNCTION("TO_PERCENT(C216/I216-J216)"),0.20000000000000284)</f>
        <v>0.2</v>
      </c>
      <c r="L216" s="101">
        <v>30.0</v>
      </c>
      <c r="M216" s="102">
        <f t="shared" si="174"/>
        <v>8</v>
      </c>
      <c r="N216" s="136">
        <f>IFERROR(__xludf.DUMMYFUNCTION("TO_PERCENT(C216/L216-M216)"),0.8666666666666671)</f>
        <v>0.8666666667</v>
      </c>
      <c r="O216" s="101">
        <v>1600.0</v>
      </c>
      <c r="P216" s="104">
        <v>0.0</v>
      </c>
      <c r="Q216" s="136">
        <v>0.1</v>
      </c>
      <c r="R216" s="136">
        <v>0.15</v>
      </c>
      <c r="S216" s="140">
        <f t="shared" si="168"/>
        <v>30.575</v>
      </c>
      <c r="T216" s="102"/>
      <c r="U216" s="136">
        <v>0.1</v>
      </c>
      <c r="V216" s="140">
        <f t="shared" si="169"/>
        <v>5.32</v>
      </c>
      <c r="W216" s="102"/>
      <c r="X216" s="136">
        <v>0.1</v>
      </c>
      <c r="Y216" s="140">
        <f t="shared" si="170"/>
        <v>0.8866666667</v>
      </c>
      <c r="Z216" s="102"/>
      <c r="AA216" s="136">
        <v>0.25</v>
      </c>
      <c r="AB216" s="141">
        <f t="shared" si="171"/>
        <v>0.025</v>
      </c>
      <c r="AC216" s="102"/>
      <c r="AD216" s="102"/>
      <c r="AE216" s="134"/>
      <c r="AF216" s="134"/>
      <c r="AG216" s="134"/>
      <c r="AH216" s="134"/>
      <c r="AI216" s="134"/>
      <c r="AJ216" s="134"/>
      <c r="AK216" s="134"/>
    </row>
    <row r="217">
      <c r="A217" s="101" t="s">
        <v>1643</v>
      </c>
      <c r="B217" s="101"/>
      <c r="C217" s="101">
        <v>370.0</v>
      </c>
      <c r="D217" s="101">
        <v>0.0</v>
      </c>
      <c r="E217" s="101">
        <v>12.0</v>
      </c>
      <c r="F217" s="101">
        <v>12.0</v>
      </c>
      <c r="G217" s="102">
        <f t="shared" si="163"/>
        <v>4440</v>
      </c>
      <c r="H217" s="102">
        <f t="shared" si="164"/>
        <v>4440</v>
      </c>
      <c r="I217" s="101">
        <v>5.0</v>
      </c>
      <c r="J217" s="102">
        <f t="shared" si="173"/>
        <v>74</v>
      </c>
      <c r="K217" s="136">
        <f>IFERROR(__xludf.DUMMYFUNCTION("TO_PERCENT(C217/I217-J217)"),0.0)</f>
        <v>0</v>
      </c>
      <c r="L217" s="101">
        <v>15.0</v>
      </c>
      <c r="M217" s="102">
        <f t="shared" si="174"/>
        <v>24</v>
      </c>
      <c r="N217" s="136">
        <f>IFERROR(__xludf.DUMMYFUNCTION("TO_PERCENT(C217/L217-M217)"),0.6666666666666679)</f>
        <v>0.6666666667</v>
      </c>
      <c r="O217" s="101">
        <v>400.0</v>
      </c>
      <c r="P217" s="104">
        <v>1.0</v>
      </c>
      <c r="Q217" s="136">
        <v>0.0</v>
      </c>
      <c r="R217" s="102"/>
      <c r="S217" s="140"/>
      <c r="T217" s="101">
        <v>64.0</v>
      </c>
      <c r="U217" s="102"/>
      <c r="V217" s="140"/>
      <c r="W217" s="101">
        <v>18.0</v>
      </c>
      <c r="X217" s="102"/>
      <c r="Y217" s="140"/>
      <c r="Z217" s="101">
        <v>6.0</v>
      </c>
      <c r="AA217" s="102"/>
      <c r="AB217" s="141"/>
      <c r="AC217" s="101">
        <v>1.0</v>
      </c>
      <c r="AD217" s="102"/>
      <c r="AE217" s="134"/>
      <c r="AF217" s="134"/>
      <c r="AG217" s="134"/>
      <c r="AH217" s="134"/>
      <c r="AI217" s="134"/>
      <c r="AJ217" s="134"/>
      <c r="AK217" s="134"/>
    </row>
    <row r="218">
      <c r="A218" s="101" t="s">
        <v>1634</v>
      </c>
      <c r="B218" s="101" t="s">
        <v>1622</v>
      </c>
      <c r="C218" s="101">
        <v>0.0</v>
      </c>
      <c r="D218" s="101">
        <v>0.0</v>
      </c>
      <c r="E218" s="101"/>
      <c r="F218" s="101"/>
      <c r="G218" s="101">
        <v>1000.0</v>
      </c>
      <c r="H218" s="101">
        <v>2000.0</v>
      </c>
      <c r="I218" s="101"/>
      <c r="J218" s="102"/>
      <c r="K218" s="136"/>
      <c r="L218" s="101"/>
      <c r="M218" s="102"/>
      <c r="N218" s="136"/>
      <c r="O218" s="101"/>
      <c r="P218" s="104"/>
      <c r="Q218" s="136"/>
      <c r="R218" s="102"/>
      <c r="S218" s="140"/>
      <c r="T218" s="101"/>
      <c r="U218" s="102"/>
      <c r="V218" s="140"/>
      <c r="W218" s="101"/>
      <c r="X218" s="102"/>
      <c r="Y218" s="140"/>
      <c r="Z218" s="101"/>
      <c r="AA218" s="102"/>
      <c r="AB218" s="141"/>
      <c r="AC218" s="101"/>
      <c r="AD218" s="102"/>
      <c r="AE218" s="134"/>
      <c r="AF218" s="134"/>
      <c r="AG218" s="134"/>
      <c r="AH218" s="134"/>
      <c r="AI218" s="134"/>
      <c r="AJ218" s="134"/>
      <c r="AK218" s="134"/>
    </row>
    <row r="219">
      <c r="A219" s="101" t="s">
        <v>1635</v>
      </c>
      <c r="B219" s="101" t="s">
        <v>1625</v>
      </c>
      <c r="C219" s="101">
        <v>0.0</v>
      </c>
      <c r="D219" s="101">
        <v>0.0</v>
      </c>
      <c r="E219" s="101"/>
      <c r="F219" s="101"/>
      <c r="G219" s="101">
        <v>2000.0</v>
      </c>
      <c r="H219" s="101">
        <v>5000.0</v>
      </c>
      <c r="I219" s="101"/>
      <c r="J219" s="102"/>
      <c r="K219" s="136"/>
      <c r="L219" s="101"/>
      <c r="M219" s="102"/>
      <c r="N219" s="136"/>
      <c r="O219" s="101"/>
      <c r="P219" s="104"/>
      <c r="Q219" s="136"/>
      <c r="R219" s="102"/>
      <c r="S219" s="140"/>
      <c r="T219" s="101"/>
      <c r="U219" s="102"/>
      <c r="V219" s="140"/>
      <c r="W219" s="101"/>
      <c r="X219" s="102"/>
      <c r="Y219" s="140"/>
      <c r="Z219" s="101"/>
      <c r="AA219" s="102"/>
      <c r="AB219" s="141"/>
      <c r="AC219" s="101"/>
      <c r="AD219" s="102"/>
      <c r="AE219" s="134"/>
      <c r="AF219" s="134"/>
      <c r="AG219" s="134"/>
      <c r="AH219" s="134"/>
      <c r="AI219" s="134"/>
      <c r="AJ219" s="134"/>
      <c r="AK219" s="134"/>
    </row>
    <row r="220">
      <c r="A220" s="101" t="s">
        <v>1636</v>
      </c>
      <c r="B220" s="101" t="s">
        <v>1627</v>
      </c>
      <c r="C220" s="101">
        <v>0.0</v>
      </c>
      <c r="D220" s="101">
        <v>0.0</v>
      </c>
      <c r="E220" s="101"/>
      <c r="F220" s="101"/>
      <c r="G220" s="101">
        <v>7500.0</v>
      </c>
      <c r="H220" s="101">
        <v>12500.0</v>
      </c>
      <c r="I220" s="101"/>
      <c r="J220" s="102"/>
      <c r="K220" s="136"/>
      <c r="L220" s="101"/>
      <c r="M220" s="102"/>
      <c r="N220" s="136"/>
      <c r="O220" s="101"/>
      <c r="P220" s="104"/>
      <c r="Q220" s="136"/>
      <c r="R220" s="102"/>
      <c r="S220" s="140"/>
      <c r="T220" s="101"/>
      <c r="U220" s="102"/>
      <c r="V220" s="140"/>
      <c r="W220" s="101"/>
      <c r="X220" s="102"/>
      <c r="Y220" s="140"/>
      <c r="Z220" s="101"/>
      <c r="AA220" s="102"/>
      <c r="AB220" s="141"/>
      <c r="AC220" s="101"/>
      <c r="AD220" s="102"/>
      <c r="AE220" s="134"/>
      <c r="AF220" s="134"/>
      <c r="AG220" s="134"/>
      <c r="AH220" s="134"/>
      <c r="AI220" s="134"/>
      <c r="AJ220" s="134"/>
      <c r="AK220" s="134"/>
    </row>
    <row r="221">
      <c r="A221" s="135" t="s">
        <v>1651</v>
      </c>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5"/>
      <c r="AE221" s="134"/>
      <c r="AF221" s="134"/>
      <c r="AG221" s="134"/>
      <c r="AH221" s="134"/>
      <c r="AI221" s="134"/>
      <c r="AJ221" s="134"/>
      <c r="AK221" s="134"/>
    </row>
    <row r="222">
      <c r="A222" s="101" t="s">
        <v>1621</v>
      </c>
      <c r="B222" s="101" t="s">
        <v>1622</v>
      </c>
      <c r="C222" s="101">
        <f t="shared" ref="C222:C224" si="175">ROUND(C12*5.3,0)</f>
        <v>21</v>
      </c>
      <c r="D222" s="101">
        <v>0.0</v>
      </c>
      <c r="E222" s="101">
        <v>7.0</v>
      </c>
      <c r="F222" s="101">
        <v>8.0</v>
      </c>
      <c r="G222" s="102">
        <f t="shared" ref="G222:G232" si="176">E222*C222</f>
        <v>147</v>
      </c>
      <c r="H222" s="102">
        <f t="shared" ref="H222:H232" si="177">F222*C222</f>
        <v>168</v>
      </c>
      <c r="I222" s="101">
        <v>9.0</v>
      </c>
      <c r="J222" s="102">
        <f t="shared" ref="J222:J228" si="178">ROUNDDOWN(C222/I222,0)</f>
        <v>2</v>
      </c>
      <c r="K222" s="136">
        <f>IFERROR(__xludf.DUMMYFUNCTION("TO_PERCENT(C222/I222-J222)"),0.3333333333333335)</f>
        <v>0.3333333333</v>
      </c>
      <c r="L222" s="101">
        <v>500.0</v>
      </c>
      <c r="M222" s="102">
        <f t="shared" ref="M222:M228" si="179">ROUNDDOWN(C222/L222,0)</f>
        <v>0</v>
      </c>
      <c r="N222" s="136">
        <f>IFERROR(__xludf.DUMMYFUNCTION("TO_PERCENT(C222/L222-M222)"),0.042)</f>
        <v>0.042</v>
      </c>
      <c r="O222" s="101">
        <v>10000.0</v>
      </c>
      <c r="P222" s="102">
        <f t="shared" ref="P222:P228" si="180">ROUNDDOWN($C222*$AJ$20/$AG$20/O222,0)</f>
        <v>0</v>
      </c>
      <c r="Q222" s="136">
        <f>IFERROR(__xludf.DUMMYFUNCTION("TO_PERCENT($C222*$AJ$20/$AG$20/O222-P222)"),0.00135)</f>
        <v>0.00135</v>
      </c>
      <c r="R222" s="136">
        <v>0.2</v>
      </c>
      <c r="S222" s="140">
        <f t="shared" ref="S222:S231" si="181">R222*(C222-J222-K222-M222-N222-P222-Q222)</f>
        <v>3.724663333</v>
      </c>
      <c r="T222" s="102"/>
      <c r="U222" s="136">
        <v>0.15</v>
      </c>
      <c r="V222" s="140">
        <f t="shared" ref="V222:V231" si="182">U222*(J222+K222)</f>
        <v>0.35</v>
      </c>
      <c r="W222" s="102"/>
      <c r="X222" s="136">
        <v>0.15</v>
      </c>
      <c r="Y222" s="140">
        <f t="shared" ref="Y222:Y231" si="183">X222*(M222+N222)</f>
        <v>0.0063</v>
      </c>
      <c r="Z222" s="102"/>
      <c r="AA222" s="136">
        <v>0.25</v>
      </c>
      <c r="AB222" s="141">
        <f t="shared" ref="AB222:AB231" si="184">AA222*(P222+Q222)</f>
        <v>0.0003375</v>
      </c>
      <c r="AC222" s="102"/>
      <c r="AD222" s="102"/>
      <c r="AE222" s="134"/>
      <c r="AF222" s="134"/>
      <c r="AG222" s="134"/>
      <c r="AH222" s="134"/>
      <c r="AI222" s="134"/>
      <c r="AJ222" s="134"/>
      <c r="AK222" s="134"/>
    </row>
    <row r="223">
      <c r="A223" s="101" t="s">
        <v>1624</v>
      </c>
      <c r="B223" s="101" t="s">
        <v>1625</v>
      </c>
      <c r="C223" s="101">
        <f t="shared" si="175"/>
        <v>42</v>
      </c>
      <c r="D223" s="101">
        <v>0.0</v>
      </c>
      <c r="E223" s="101">
        <v>14.0</v>
      </c>
      <c r="F223" s="101">
        <v>16.0</v>
      </c>
      <c r="G223" s="102">
        <f t="shared" si="176"/>
        <v>588</v>
      </c>
      <c r="H223" s="102">
        <f t="shared" si="177"/>
        <v>672</v>
      </c>
      <c r="I223" s="101">
        <v>4.0</v>
      </c>
      <c r="J223" s="102">
        <f t="shared" si="178"/>
        <v>10</v>
      </c>
      <c r="K223" s="136">
        <f>IFERROR(__xludf.DUMMYFUNCTION("TO_PERCENT(C223/I223-J223)"),0.5)</f>
        <v>0.5</v>
      </c>
      <c r="L223" s="101">
        <v>200.0</v>
      </c>
      <c r="M223" s="102">
        <f t="shared" si="179"/>
        <v>0</v>
      </c>
      <c r="N223" s="136">
        <f>IFERROR(__xludf.DUMMYFUNCTION("TO_PERCENT(C223/L223-M223)"),0.21)</f>
        <v>0.21</v>
      </c>
      <c r="O223" s="101">
        <v>4000.0</v>
      </c>
      <c r="P223" s="102">
        <f t="shared" si="180"/>
        <v>0</v>
      </c>
      <c r="Q223" s="136">
        <f>IFERROR(__xludf.DUMMYFUNCTION("TO_PERCENT($C223*$AJ$20/$AG$20/O223-P223)"),0.00675)</f>
        <v>0.00675</v>
      </c>
      <c r="R223" s="136">
        <v>0.2</v>
      </c>
      <c r="S223" s="140">
        <f t="shared" si="181"/>
        <v>6.25665</v>
      </c>
      <c r="T223" s="102"/>
      <c r="U223" s="136">
        <v>0.15</v>
      </c>
      <c r="V223" s="140">
        <f t="shared" si="182"/>
        <v>1.575</v>
      </c>
      <c r="W223" s="102"/>
      <c r="X223" s="136">
        <v>0.15</v>
      </c>
      <c r="Y223" s="140">
        <f t="shared" si="183"/>
        <v>0.0315</v>
      </c>
      <c r="Z223" s="102"/>
      <c r="AA223" s="136">
        <v>0.25</v>
      </c>
      <c r="AB223" s="141">
        <f t="shared" si="184"/>
        <v>0.0016875</v>
      </c>
      <c r="AC223" s="102"/>
      <c r="AD223" s="102"/>
      <c r="AE223" s="134"/>
      <c r="AF223" s="134"/>
      <c r="AG223" s="134"/>
      <c r="AH223" s="134"/>
      <c r="AI223" s="134"/>
      <c r="AJ223" s="134"/>
      <c r="AK223" s="134"/>
    </row>
    <row r="224">
      <c r="A224" s="101" t="s">
        <v>1626</v>
      </c>
      <c r="B224" s="101" t="s">
        <v>1627</v>
      </c>
      <c r="C224" s="101">
        <f t="shared" si="175"/>
        <v>106</v>
      </c>
      <c r="D224" s="101">
        <v>0.0</v>
      </c>
      <c r="E224" s="101">
        <v>16.0</v>
      </c>
      <c r="F224" s="101">
        <v>16.0</v>
      </c>
      <c r="G224" s="102">
        <f t="shared" si="176"/>
        <v>1696</v>
      </c>
      <c r="H224" s="102">
        <f t="shared" si="177"/>
        <v>1696</v>
      </c>
      <c r="I224" s="101">
        <v>5.0</v>
      </c>
      <c r="J224" s="102">
        <f t="shared" si="178"/>
        <v>21</v>
      </c>
      <c r="K224" s="136">
        <f>IFERROR(__xludf.DUMMYFUNCTION("TO_PERCENT(C224/I224-J224)"),0.1999999999999993)</f>
        <v>0.2</v>
      </c>
      <c r="L224" s="101">
        <v>10.0</v>
      </c>
      <c r="M224" s="102">
        <f t="shared" si="179"/>
        <v>10</v>
      </c>
      <c r="N224" s="136">
        <f>IFERROR(__xludf.DUMMYFUNCTION("TO_PERCENT(C224/L224-M224)"),0.5999999999999996)</f>
        <v>0.6</v>
      </c>
      <c r="O224" s="101">
        <v>300.0</v>
      </c>
      <c r="P224" s="102">
        <f t="shared" si="180"/>
        <v>0</v>
      </c>
      <c r="Q224" s="136">
        <f>IFERROR(__xludf.DUMMYFUNCTION("TO_PERCENT($C224*$AJ$20/$AG$20/O224-P224)"),0.22714285714285712)</f>
        <v>0.2271428571</v>
      </c>
      <c r="R224" s="136">
        <v>0.2</v>
      </c>
      <c r="S224" s="140">
        <f t="shared" si="181"/>
        <v>14.79457143</v>
      </c>
      <c r="T224" s="102"/>
      <c r="U224" s="136">
        <v>0.15</v>
      </c>
      <c r="V224" s="140">
        <f t="shared" si="182"/>
        <v>3.18</v>
      </c>
      <c r="W224" s="102"/>
      <c r="X224" s="136">
        <v>0.15</v>
      </c>
      <c r="Y224" s="140">
        <f t="shared" si="183"/>
        <v>1.59</v>
      </c>
      <c r="Z224" s="102"/>
      <c r="AA224" s="136">
        <v>0.25</v>
      </c>
      <c r="AB224" s="141">
        <f t="shared" si="184"/>
        <v>0.05678571429</v>
      </c>
      <c r="AC224" s="102"/>
      <c r="AD224" s="102"/>
      <c r="AE224" s="134"/>
      <c r="AF224" s="134"/>
      <c r="AG224" s="134"/>
      <c r="AH224" s="134"/>
      <c r="AI224" s="134"/>
      <c r="AJ224" s="134"/>
      <c r="AK224" s="134"/>
    </row>
    <row r="225">
      <c r="A225" s="101" t="s">
        <v>1628</v>
      </c>
      <c r="B225" s="102"/>
      <c r="C225" s="101">
        <v>17.0</v>
      </c>
      <c r="D225" s="101">
        <v>0.0</v>
      </c>
      <c r="E225" s="101">
        <v>7.0</v>
      </c>
      <c r="F225" s="101">
        <v>8.0</v>
      </c>
      <c r="G225" s="102">
        <f t="shared" si="176"/>
        <v>119</v>
      </c>
      <c r="H225" s="102">
        <f t="shared" si="177"/>
        <v>136</v>
      </c>
      <c r="I225" s="101">
        <v>10.0</v>
      </c>
      <c r="J225" s="102">
        <f t="shared" si="178"/>
        <v>1</v>
      </c>
      <c r="K225" s="136">
        <f>IFERROR(__xludf.DUMMYFUNCTION("TO_PERCENT(C225/I225-J225)"),0.7)</f>
        <v>0.7</v>
      </c>
      <c r="L225" s="101">
        <v>200.0</v>
      </c>
      <c r="M225" s="102">
        <f t="shared" si="179"/>
        <v>0</v>
      </c>
      <c r="N225" s="136">
        <f>IFERROR(__xludf.DUMMYFUNCTION("TO_PERCENT(C225/L225-M225)"),0.085)</f>
        <v>0.085</v>
      </c>
      <c r="O225" s="101">
        <v>4000.0</v>
      </c>
      <c r="P225" s="102">
        <f t="shared" si="180"/>
        <v>0</v>
      </c>
      <c r="Q225" s="136">
        <f>IFERROR(__xludf.DUMMYFUNCTION("TO_PERCENT($C225*$AJ$20/$AG$20/O225-P225)"),0.002732142857142857)</f>
        <v>0.002732142857</v>
      </c>
      <c r="R225" s="136">
        <v>0.2</v>
      </c>
      <c r="S225" s="140">
        <f t="shared" si="181"/>
        <v>3.042453571</v>
      </c>
      <c r="T225" s="102"/>
      <c r="U225" s="136">
        <v>0.15</v>
      </c>
      <c r="V225" s="140">
        <f t="shared" si="182"/>
        <v>0.255</v>
      </c>
      <c r="W225" s="102"/>
      <c r="X225" s="136">
        <v>0.15</v>
      </c>
      <c r="Y225" s="140">
        <f t="shared" si="183"/>
        <v>0.01275</v>
      </c>
      <c r="Z225" s="102"/>
      <c r="AA225" s="136">
        <v>0.25</v>
      </c>
      <c r="AB225" s="141">
        <f t="shared" si="184"/>
        <v>0.0006830357143</v>
      </c>
      <c r="AC225" s="102"/>
      <c r="AD225" s="102"/>
      <c r="AE225" s="134"/>
      <c r="AF225" s="134"/>
      <c r="AG225" s="134"/>
      <c r="AH225" s="134"/>
      <c r="AI225" s="134"/>
      <c r="AJ225" s="134"/>
      <c r="AK225" s="134"/>
    </row>
    <row r="226">
      <c r="A226" s="101" t="s">
        <v>1629</v>
      </c>
      <c r="B226" s="102"/>
      <c r="C226" s="101">
        <f t="shared" ref="C226:C228" si="185">ROUND(C16*5.3,0)</f>
        <v>85</v>
      </c>
      <c r="D226" s="101">
        <v>0.0</v>
      </c>
      <c r="E226" s="101">
        <v>14.0</v>
      </c>
      <c r="F226" s="101">
        <v>16.0</v>
      </c>
      <c r="G226" s="102">
        <f t="shared" si="176"/>
        <v>1190</v>
      </c>
      <c r="H226" s="102">
        <f t="shared" si="177"/>
        <v>1360</v>
      </c>
      <c r="I226" s="101">
        <v>6.0</v>
      </c>
      <c r="J226" s="102">
        <f t="shared" si="178"/>
        <v>14</v>
      </c>
      <c r="K226" s="136">
        <f>IFERROR(__xludf.DUMMYFUNCTION("TO_PERCENT(C226/I226-J226)"),0.16666666666666607)</f>
        <v>0.1666666667</v>
      </c>
      <c r="L226" s="101">
        <v>120.0</v>
      </c>
      <c r="M226" s="102">
        <f t="shared" si="179"/>
        <v>0</v>
      </c>
      <c r="N226" s="136">
        <f>IFERROR(__xludf.DUMMYFUNCTION("TO_PERCENT(C226/L226-M226)"),0.7083333333333334)</f>
        <v>0.7083333333</v>
      </c>
      <c r="O226" s="101">
        <v>2400.0</v>
      </c>
      <c r="P226" s="102">
        <f t="shared" si="180"/>
        <v>0</v>
      </c>
      <c r="Q226" s="136">
        <f>IFERROR(__xludf.DUMMYFUNCTION("TO_PERCENT($C226*$AJ$20/$AG$20/O226-P226)"),0.022767857142857145)</f>
        <v>0.02276785714</v>
      </c>
      <c r="R226" s="136">
        <v>0.2</v>
      </c>
      <c r="S226" s="140">
        <f t="shared" si="181"/>
        <v>14.02044643</v>
      </c>
      <c r="T226" s="102"/>
      <c r="U226" s="136">
        <v>0.15</v>
      </c>
      <c r="V226" s="140">
        <f t="shared" si="182"/>
        <v>2.125</v>
      </c>
      <c r="W226" s="102"/>
      <c r="X226" s="136">
        <v>0.15</v>
      </c>
      <c r="Y226" s="140">
        <f t="shared" si="183"/>
        <v>0.10625</v>
      </c>
      <c r="Z226" s="102"/>
      <c r="AA226" s="136">
        <v>0.25</v>
      </c>
      <c r="AB226" s="141">
        <f t="shared" si="184"/>
        <v>0.005691964286</v>
      </c>
      <c r="AC226" s="102"/>
      <c r="AD226" s="102"/>
      <c r="AE226" s="134"/>
      <c r="AF226" s="134"/>
      <c r="AG226" s="134"/>
      <c r="AH226" s="134"/>
      <c r="AI226" s="134"/>
      <c r="AJ226" s="134"/>
      <c r="AK226" s="134"/>
    </row>
    <row r="227">
      <c r="A227" s="101" t="s">
        <v>107</v>
      </c>
      <c r="B227" s="101" t="s">
        <v>1627</v>
      </c>
      <c r="C227" s="101">
        <f t="shared" si="185"/>
        <v>371</v>
      </c>
      <c r="D227" s="101">
        <v>0.0</v>
      </c>
      <c r="E227" s="101">
        <v>9.0</v>
      </c>
      <c r="F227" s="101">
        <v>9.0</v>
      </c>
      <c r="G227" s="102">
        <f t="shared" si="176"/>
        <v>3339</v>
      </c>
      <c r="H227" s="102">
        <f t="shared" si="177"/>
        <v>3339</v>
      </c>
      <c r="I227" s="101">
        <v>5.0</v>
      </c>
      <c r="J227" s="102">
        <f t="shared" si="178"/>
        <v>74</v>
      </c>
      <c r="K227" s="136">
        <f>IFERROR(__xludf.DUMMYFUNCTION("TO_PERCENT(C227/I227-J227)"),0.20000000000000284)</f>
        <v>0.2</v>
      </c>
      <c r="L227" s="101">
        <v>500.0</v>
      </c>
      <c r="M227" s="102">
        <f t="shared" si="179"/>
        <v>0</v>
      </c>
      <c r="N227" s="136">
        <f>IFERROR(__xludf.DUMMYFUNCTION("TO_PERCENT(C227/L227-M227)"),0.742)</f>
        <v>0.742</v>
      </c>
      <c r="O227" s="101">
        <v>10000.0</v>
      </c>
      <c r="P227" s="102">
        <f t="shared" si="180"/>
        <v>0</v>
      </c>
      <c r="Q227" s="136">
        <f>IFERROR(__xludf.DUMMYFUNCTION("TO_PERCENT($C227*$AJ$20/$AG$20/O227-P227)"),0.02385)</f>
        <v>0.02385</v>
      </c>
      <c r="R227" s="136">
        <v>0.2</v>
      </c>
      <c r="S227" s="140">
        <f t="shared" si="181"/>
        <v>59.20683</v>
      </c>
      <c r="T227" s="102"/>
      <c r="U227" s="136">
        <v>0.15</v>
      </c>
      <c r="V227" s="140">
        <f t="shared" si="182"/>
        <v>11.13</v>
      </c>
      <c r="W227" s="102"/>
      <c r="X227" s="136">
        <v>0.15</v>
      </c>
      <c r="Y227" s="140">
        <f t="shared" si="183"/>
        <v>0.1113</v>
      </c>
      <c r="Z227" s="102"/>
      <c r="AA227" s="136">
        <v>0.25</v>
      </c>
      <c r="AB227" s="141">
        <f t="shared" si="184"/>
        <v>0.0059625</v>
      </c>
      <c r="AC227" s="102"/>
      <c r="AD227" s="102"/>
      <c r="AE227" s="134"/>
      <c r="AF227" s="134"/>
      <c r="AG227" s="134"/>
      <c r="AH227" s="134"/>
      <c r="AI227" s="134"/>
      <c r="AJ227" s="134"/>
      <c r="AK227" s="134"/>
    </row>
    <row r="228">
      <c r="A228" s="101" t="s">
        <v>1630</v>
      </c>
      <c r="B228" s="101" t="s">
        <v>1631</v>
      </c>
      <c r="C228" s="101">
        <f t="shared" si="185"/>
        <v>954</v>
      </c>
      <c r="D228" s="101">
        <v>9.0</v>
      </c>
      <c r="E228" s="101">
        <v>9.0</v>
      </c>
      <c r="F228" s="101">
        <v>9.0</v>
      </c>
      <c r="G228" s="102">
        <f t="shared" si="176"/>
        <v>8586</v>
      </c>
      <c r="H228" s="102">
        <f t="shared" si="177"/>
        <v>8586</v>
      </c>
      <c r="I228" s="101">
        <v>5.0</v>
      </c>
      <c r="J228" s="102">
        <f t="shared" si="178"/>
        <v>190</v>
      </c>
      <c r="K228" s="136">
        <f>IFERROR(__xludf.DUMMYFUNCTION("TO_PERCENT(C228/I228-J228)"),0.8000000000000114)</f>
        <v>0.8</v>
      </c>
      <c r="L228" s="101">
        <v>30.0</v>
      </c>
      <c r="M228" s="102">
        <f t="shared" si="179"/>
        <v>31</v>
      </c>
      <c r="N228" s="136">
        <f>IFERROR(__xludf.DUMMYFUNCTION("TO_PERCENT(C228/L228-M228)"),0.8000000000000007)</f>
        <v>0.8</v>
      </c>
      <c r="O228" s="101">
        <v>600.0</v>
      </c>
      <c r="P228" s="102">
        <f t="shared" si="180"/>
        <v>1</v>
      </c>
      <c r="Q228" s="136">
        <f>IFERROR(__xludf.DUMMYFUNCTION("TO_PERCENT($C228*$AJ$20/$AG$20/O228-P228)"),0.022142857142857242)</f>
        <v>0.02214285714</v>
      </c>
      <c r="R228" s="136">
        <v>0.2</v>
      </c>
      <c r="S228" s="140">
        <f t="shared" si="181"/>
        <v>146.0755714</v>
      </c>
      <c r="T228" s="102"/>
      <c r="U228" s="136">
        <v>0.15</v>
      </c>
      <c r="V228" s="140">
        <f t="shared" si="182"/>
        <v>28.62</v>
      </c>
      <c r="W228" s="102"/>
      <c r="X228" s="136">
        <v>0.15</v>
      </c>
      <c r="Y228" s="140">
        <f t="shared" si="183"/>
        <v>4.77</v>
      </c>
      <c r="Z228" s="102"/>
      <c r="AA228" s="136">
        <v>0.25</v>
      </c>
      <c r="AB228" s="141">
        <f t="shared" si="184"/>
        <v>0.2555357143</v>
      </c>
      <c r="AC228" s="102"/>
      <c r="AD228" s="102"/>
      <c r="AE228" s="134"/>
      <c r="AF228" s="134"/>
      <c r="AG228" s="134"/>
      <c r="AH228" s="134"/>
      <c r="AI228" s="134"/>
      <c r="AJ228" s="134"/>
      <c r="AK228" s="134"/>
    </row>
    <row r="229">
      <c r="A229" s="101" t="s">
        <v>131</v>
      </c>
      <c r="B229" s="101" t="s">
        <v>1627</v>
      </c>
      <c r="C229" s="101">
        <v>20.0</v>
      </c>
      <c r="D229" s="101">
        <v>0.0</v>
      </c>
      <c r="E229" s="101">
        <v>0.0</v>
      </c>
      <c r="F229" s="101">
        <v>0.0</v>
      </c>
      <c r="G229" s="102">
        <f t="shared" si="176"/>
        <v>0</v>
      </c>
      <c r="H229" s="102">
        <f t="shared" si="177"/>
        <v>0</v>
      </c>
      <c r="I229" s="104">
        <v>0.0</v>
      </c>
      <c r="J229" s="101">
        <v>0.0</v>
      </c>
      <c r="K229" s="136">
        <v>0.0</v>
      </c>
      <c r="L229" s="101">
        <v>1.0</v>
      </c>
      <c r="M229" s="101">
        <v>20.0</v>
      </c>
      <c r="N229" s="136">
        <v>0.0</v>
      </c>
      <c r="O229" s="104">
        <v>0.0</v>
      </c>
      <c r="P229" s="101">
        <v>0.0</v>
      </c>
      <c r="Q229" s="136">
        <v>0.0</v>
      </c>
      <c r="R229" s="136">
        <v>0.2</v>
      </c>
      <c r="S229" s="140">
        <f t="shared" si="181"/>
        <v>0</v>
      </c>
      <c r="T229" s="102"/>
      <c r="U229" s="136">
        <v>0.15</v>
      </c>
      <c r="V229" s="140">
        <f t="shared" si="182"/>
        <v>0</v>
      </c>
      <c r="W229" s="102"/>
      <c r="X229" s="136">
        <v>0.15</v>
      </c>
      <c r="Y229" s="140">
        <f t="shared" si="183"/>
        <v>3</v>
      </c>
      <c r="Z229" s="102"/>
      <c r="AA229" s="136">
        <v>0.25</v>
      </c>
      <c r="AB229" s="141">
        <f t="shared" si="184"/>
        <v>0</v>
      </c>
      <c r="AC229" s="102"/>
      <c r="AD229" s="102"/>
      <c r="AE229" s="134"/>
      <c r="AF229" s="134"/>
      <c r="AG229" s="134"/>
      <c r="AH229" s="134"/>
      <c r="AI229" s="134"/>
      <c r="AJ229" s="134"/>
      <c r="AK229" s="134"/>
    </row>
    <row r="230">
      <c r="A230" s="101" t="s">
        <v>223</v>
      </c>
      <c r="B230" s="101"/>
      <c r="C230" s="101">
        <v>137.0</v>
      </c>
      <c r="D230" s="101">
        <v>6.0</v>
      </c>
      <c r="E230" s="101">
        <v>5.0</v>
      </c>
      <c r="F230" s="101">
        <v>5.0</v>
      </c>
      <c r="G230" s="102">
        <f t="shared" si="176"/>
        <v>685</v>
      </c>
      <c r="H230" s="102">
        <f t="shared" si="177"/>
        <v>685</v>
      </c>
      <c r="I230" s="101">
        <v>6.0</v>
      </c>
      <c r="J230" s="102">
        <f t="shared" ref="J230:J232" si="186">ROUNDDOWN(C230/I230,0)</f>
        <v>22</v>
      </c>
      <c r="K230" s="136">
        <f>IFERROR(__xludf.DUMMYFUNCTION("TO_PERCENT(C230/I230-J230)"),0.8333333333333321)</f>
        <v>0.8333333333</v>
      </c>
      <c r="L230" s="101">
        <v>50.0</v>
      </c>
      <c r="M230" s="102">
        <f t="shared" ref="M230:M232" si="187">ROUNDDOWN(C230/L230,0)</f>
        <v>2</v>
      </c>
      <c r="N230" s="136">
        <f>IFERROR(__xludf.DUMMYFUNCTION("TO_PERCENT(C230/L230-M230)"),0.7400000000000002)</f>
        <v>0.74</v>
      </c>
      <c r="O230" s="101">
        <v>8000.0</v>
      </c>
      <c r="P230" s="102">
        <f>ROUNDDOWN($C230*$AJ$20/$AG$20/O230,0)</f>
        <v>0</v>
      </c>
      <c r="Q230" s="136">
        <f>IFERROR(__xludf.DUMMYFUNCTION("TO_PERCENT($C230*$AJ$20/$AG$20/O230-P230)"),0.01100892857142857)</f>
        <v>0.01100892857</v>
      </c>
      <c r="R230" s="136">
        <v>0.2</v>
      </c>
      <c r="S230" s="140">
        <f t="shared" si="181"/>
        <v>22.28313155</v>
      </c>
      <c r="T230" s="102"/>
      <c r="U230" s="136">
        <v>0.15</v>
      </c>
      <c r="V230" s="140">
        <f t="shared" si="182"/>
        <v>3.425</v>
      </c>
      <c r="W230" s="102"/>
      <c r="X230" s="136">
        <v>0.15</v>
      </c>
      <c r="Y230" s="140">
        <f t="shared" si="183"/>
        <v>0.411</v>
      </c>
      <c r="Z230" s="102"/>
      <c r="AA230" s="136">
        <v>0.25</v>
      </c>
      <c r="AB230" s="141">
        <f t="shared" si="184"/>
        <v>0.002752232143</v>
      </c>
      <c r="AC230" s="102"/>
      <c r="AD230" s="102"/>
      <c r="AE230" s="134"/>
      <c r="AF230" s="134"/>
      <c r="AG230" s="134"/>
      <c r="AH230" s="134"/>
      <c r="AI230" s="134"/>
      <c r="AJ230" s="134"/>
      <c r="AK230" s="134"/>
    </row>
    <row r="231">
      <c r="A231" s="101" t="s">
        <v>1632</v>
      </c>
      <c r="B231" s="101"/>
      <c r="C231" s="101">
        <v>274.0</v>
      </c>
      <c r="D231" s="101">
        <v>0.0</v>
      </c>
      <c r="E231" s="101">
        <v>7.0</v>
      </c>
      <c r="F231" s="101">
        <v>7.0</v>
      </c>
      <c r="G231" s="102">
        <f t="shared" si="176"/>
        <v>1918</v>
      </c>
      <c r="H231" s="102">
        <f t="shared" si="177"/>
        <v>1918</v>
      </c>
      <c r="I231" s="101">
        <v>5.0</v>
      </c>
      <c r="J231" s="102">
        <f t="shared" si="186"/>
        <v>54</v>
      </c>
      <c r="K231" s="136">
        <f>IFERROR(__xludf.DUMMYFUNCTION("TO_PERCENT(C231/I231-J231)"),0.7999999999999972)</f>
        <v>0.8</v>
      </c>
      <c r="L231" s="101">
        <v>30.0</v>
      </c>
      <c r="M231" s="102">
        <f t="shared" si="187"/>
        <v>9</v>
      </c>
      <c r="N231" s="136">
        <f>IFERROR(__xludf.DUMMYFUNCTION("TO_PERCENT(C231/L231-M231)"),0.13333333333333286)</f>
        <v>0.1333333333</v>
      </c>
      <c r="O231" s="101">
        <v>1600.0</v>
      </c>
      <c r="P231" s="104">
        <v>0.0</v>
      </c>
      <c r="Q231" s="136">
        <v>0.1</v>
      </c>
      <c r="R231" s="136">
        <v>0.2</v>
      </c>
      <c r="S231" s="140">
        <f t="shared" si="181"/>
        <v>41.99333333</v>
      </c>
      <c r="T231" s="102"/>
      <c r="U231" s="136">
        <v>0.15</v>
      </c>
      <c r="V231" s="140">
        <f t="shared" si="182"/>
        <v>8.22</v>
      </c>
      <c r="W231" s="102"/>
      <c r="X231" s="136">
        <v>0.15</v>
      </c>
      <c r="Y231" s="140">
        <f t="shared" si="183"/>
        <v>1.37</v>
      </c>
      <c r="Z231" s="102"/>
      <c r="AA231" s="136">
        <v>0.25</v>
      </c>
      <c r="AB231" s="141">
        <f t="shared" si="184"/>
        <v>0.025</v>
      </c>
      <c r="AC231" s="102"/>
      <c r="AD231" s="102"/>
      <c r="AE231" s="134"/>
      <c r="AF231" s="134"/>
      <c r="AG231" s="134"/>
      <c r="AH231" s="134"/>
      <c r="AI231" s="134"/>
      <c r="AJ231" s="134"/>
      <c r="AK231" s="134"/>
    </row>
    <row r="232">
      <c r="A232" s="101" t="s">
        <v>1643</v>
      </c>
      <c r="B232" s="101"/>
      <c r="C232" s="101">
        <v>380.0</v>
      </c>
      <c r="D232" s="101">
        <v>0.0</v>
      </c>
      <c r="E232" s="101">
        <v>12.0</v>
      </c>
      <c r="F232" s="101">
        <v>12.0</v>
      </c>
      <c r="G232" s="102">
        <f t="shared" si="176"/>
        <v>4560</v>
      </c>
      <c r="H232" s="102">
        <f t="shared" si="177"/>
        <v>4560</v>
      </c>
      <c r="I232" s="101">
        <v>5.0</v>
      </c>
      <c r="J232" s="102">
        <f t="shared" si="186"/>
        <v>76</v>
      </c>
      <c r="K232" s="136">
        <f>IFERROR(__xludf.DUMMYFUNCTION("TO_PERCENT(C232/I232-J232)"),0.0)</f>
        <v>0</v>
      </c>
      <c r="L232" s="101">
        <v>15.0</v>
      </c>
      <c r="M232" s="102">
        <f t="shared" si="187"/>
        <v>25</v>
      </c>
      <c r="N232" s="136">
        <f>IFERROR(__xludf.DUMMYFUNCTION("TO_PERCENT(C232/L232-M232)"),0.33333333333333215)</f>
        <v>0.3333333333</v>
      </c>
      <c r="O232" s="101">
        <v>400.0</v>
      </c>
      <c r="P232" s="104">
        <v>1.0</v>
      </c>
      <c r="Q232" s="136">
        <v>0.0</v>
      </c>
      <c r="R232" s="102"/>
      <c r="S232" s="140"/>
      <c r="T232" s="101">
        <v>66.0</v>
      </c>
      <c r="U232" s="102"/>
      <c r="V232" s="140"/>
      <c r="W232" s="101">
        <v>18.0</v>
      </c>
      <c r="X232" s="102"/>
      <c r="Y232" s="140"/>
      <c r="Z232" s="101">
        <v>6.0</v>
      </c>
      <c r="AA232" s="102"/>
      <c r="AB232" s="141"/>
      <c r="AC232" s="101">
        <v>1.0</v>
      </c>
      <c r="AD232" s="102"/>
      <c r="AE232" s="134"/>
      <c r="AF232" s="134"/>
      <c r="AG232" s="134"/>
      <c r="AH232" s="134"/>
      <c r="AI232" s="134"/>
      <c r="AJ232" s="134"/>
      <c r="AK232" s="134"/>
    </row>
    <row r="233">
      <c r="A233" s="101" t="s">
        <v>1634</v>
      </c>
      <c r="B233" s="101" t="s">
        <v>1622</v>
      </c>
      <c r="C233" s="101">
        <v>0.0</v>
      </c>
      <c r="D233" s="101">
        <v>0.0</v>
      </c>
      <c r="E233" s="101"/>
      <c r="F233" s="101"/>
      <c r="G233" s="101">
        <v>1000.0</v>
      </c>
      <c r="H233" s="101">
        <v>2000.0</v>
      </c>
      <c r="I233" s="101"/>
      <c r="J233" s="102"/>
      <c r="K233" s="136"/>
      <c r="L233" s="101"/>
      <c r="M233" s="102"/>
      <c r="N233" s="136"/>
      <c r="O233" s="101"/>
      <c r="P233" s="104"/>
      <c r="Q233" s="136"/>
      <c r="R233" s="102"/>
      <c r="S233" s="140"/>
      <c r="T233" s="101"/>
      <c r="U233" s="102"/>
      <c r="V233" s="140"/>
      <c r="W233" s="101"/>
      <c r="X233" s="102"/>
      <c r="Y233" s="140"/>
      <c r="Z233" s="101"/>
      <c r="AA233" s="102"/>
      <c r="AB233" s="141"/>
      <c r="AC233" s="101"/>
      <c r="AD233" s="102"/>
      <c r="AE233" s="134"/>
      <c r="AF233" s="134"/>
      <c r="AG233" s="134"/>
      <c r="AH233" s="134"/>
      <c r="AI233" s="134"/>
      <c r="AJ233" s="134"/>
      <c r="AK233" s="134"/>
    </row>
    <row r="234">
      <c r="A234" s="101" t="s">
        <v>1635</v>
      </c>
      <c r="B234" s="101" t="s">
        <v>1625</v>
      </c>
      <c r="C234" s="101">
        <v>0.0</v>
      </c>
      <c r="D234" s="101">
        <v>0.0</v>
      </c>
      <c r="E234" s="101"/>
      <c r="F234" s="101"/>
      <c r="G234" s="101">
        <v>2000.0</v>
      </c>
      <c r="H234" s="101">
        <v>5000.0</v>
      </c>
      <c r="I234" s="101"/>
      <c r="J234" s="102"/>
      <c r="K234" s="136"/>
      <c r="L234" s="101"/>
      <c r="M234" s="102"/>
      <c r="N234" s="136"/>
      <c r="O234" s="101"/>
      <c r="P234" s="104"/>
      <c r="Q234" s="136"/>
      <c r="R234" s="102"/>
      <c r="S234" s="140"/>
      <c r="T234" s="101"/>
      <c r="U234" s="102"/>
      <c r="V234" s="140"/>
      <c r="W234" s="101"/>
      <c r="X234" s="102"/>
      <c r="Y234" s="140"/>
      <c r="Z234" s="101"/>
      <c r="AA234" s="102"/>
      <c r="AB234" s="141"/>
      <c r="AC234" s="101"/>
      <c r="AD234" s="102"/>
      <c r="AE234" s="134"/>
      <c r="AF234" s="134"/>
      <c r="AG234" s="134"/>
      <c r="AH234" s="134"/>
      <c r="AI234" s="134"/>
      <c r="AJ234" s="134"/>
      <c r="AK234" s="134"/>
    </row>
    <row r="235">
      <c r="A235" s="101" t="s">
        <v>1636</v>
      </c>
      <c r="B235" s="101" t="s">
        <v>1627</v>
      </c>
      <c r="C235" s="101">
        <v>0.0</v>
      </c>
      <c r="D235" s="101">
        <v>0.0</v>
      </c>
      <c r="E235" s="101"/>
      <c r="F235" s="101"/>
      <c r="G235" s="101">
        <v>7500.0</v>
      </c>
      <c r="H235" s="101">
        <v>12500.0</v>
      </c>
      <c r="I235" s="101"/>
      <c r="J235" s="102"/>
      <c r="K235" s="136"/>
      <c r="L235" s="101"/>
      <c r="M235" s="102"/>
      <c r="N235" s="136"/>
      <c r="O235" s="101"/>
      <c r="P235" s="104"/>
      <c r="Q235" s="136"/>
      <c r="R235" s="102"/>
      <c r="S235" s="140"/>
      <c r="T235" s="101"/>
      <c r="U235" s="102"/>
      <c r="V235" s="140"/>
      <c r="W235" s="101"/>
      <c r="X235" s="102"/>
      <c r="Y235" s="140"/>
      <c r="Z235" s="101"/>
      <c r="AA235" s="102"/>
      <c r="AB235" s="141"/>
      <c r="AC235" s="101"/>
      <c r="AD235" s="102"/>
      <c r="AE235" s="134"/>
      <c r="AF235" s="134"/>
      <c r="AG235" s="134"/>
      <c r="AH235" s="134"/>
      <c r="AI235" s="134"/>
      <c r="AJ235" s="134"/>
      <c r="AK235" s="134"/>
    </row>
    <row r="236">
      <c r="A236" s="135" t="s">
        <v>1652</v>
      </c>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5"/>
      <c r="AE236" s="134"/>
      <c r="AF236" s="134"/>
      <c r="AG236" s="134"/>
      <c r="AH236" s="134"/>
      <c r="AI236" s="134"/>
      <c r="AJ236" s="134"/>
      <c r="AK236" s="134"/>
    </row>
    <row r="237">
      <c r="A237" s="101" t="s">
        <v>181</v>
      </c>
      <c r="B237" s="101" t="s">
        <v>1631</v>
      </c>
      <c r="C237" s="101">
        <v>1.0</v>
      </c>
      <c r="D237" s="101">
        <v>0.0</v>
      </c>
      <c r="E237" s="101">
        <v>0.0</v>
      </c>
      <c r="F237" s="101">
        <v>0.0</v>
      </c>
      <c r="G237" s="102">
        <f>E237*C237</f>
        <v>0</v>
      </c>
      <c r="H237" s="102">
        <f>F237*C237</f>
        <v>0</v>
      </c>
      <c r="I237" s="101">
        <v>0.0</v>
      </c>
      <c r="J237" s="101">
        <v>0.0</v>
      </c>
      <c r="K237" s="136">
        <v>0.0</v>
      </c>
      <c r="L237" s="101">
        <v>0.0</v>
      </c>
      <c r="M237" s="101">
        <v>0.0</v>
      </c>
      <c r="N237" s="136">
        <v>0.0</v>
      </c>
      <c r="O237" s="101">
        <v>1.0</v>
      </c>
      <c r="P237" s="101">
        <v>1.0</v>
      </c>
      <c r="Q237" s="136">
        <v>0.0</v>
      </c>
      <c r="R237" s="102"/>
      <c r="S237" s="140"/>
      <c r="T237" s="102"/>
      <c r="U237" s="102"/>
      <c r="V237" s="140"/>
      <c r="W237" s="102"/>
      <c r="X237" s="102"/>
      <c r="Y237" s="140"/>
      <c r="Z237" s="102"/>
      <c r="AA237" s="136">
        <v>0.25</v>
      </c>
      <c r="AB237" s="141">
        <f>AA237*(P237+Q237)</f>
        <v>0.25</v>
      </c>
      <c r="AC237" s="102"/>
      <c r="AD237" s="102"/>
      <c r="AE237" s="134"/>
      <c r="AF237" s="134"/>
      <c r="AG237" s="134"/>
      <c r="AH237" s="134"/>
      <c r="AI237" s="134"/>
      <c r="AJ237" s="134"/>
      <c r="AK237" s="134"/>
    </row>
    <row r="238">
      <c r="A238" s="142" t="s">
        <v>1653</v>
      </c>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5"/>
      <c r="AE238" s="134"/>
      <c r="AF238" s="134"/>
      <c r="AG238" s="134"/>
      <c r="AH238" s="134"/>
      <c r="AI238" s="134"/>
      <c r="AJ238" s="134"/>
      <c r="AK238" s="134"/>
    </row>
    <row r="239">
      <c r="A239" s="135" t="s">
        <v>1654</v>
      </c>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5"/>
      <c r="AE239" s="134"/>
      <c r="AF239" s="134"/>
      <c r="AG239" s="134"/>
      <c r="AH239" s="134"/>
      <c r="AI239" s="134"/>
      <c r="AJ239" s="134"/>
      <c r="AK239" s="134"/>
    </row>
    <row r="240">
      <c r="A240" s="101" t="s">
        <v>1655</v>
      </c>
      <c r="B240" s="102"/>
      <c r="C240" s="101">
        <v>20.0</v>
      </c>
      <c r="D240" s="101">
        <v>0.0</v>
      </c>
      <c r="E240" s="101">
        <v>15.0</v>
      </c>
      <c r="F240" s="101">
        <v>15.0</v>
      </c>
      <c r="G240" s="102">
        <f t="shared" ref="G240:G252" si="188">E240*C240</f>
        <v>300</v>
      </c>
      <c r="H240" s="102">
        <f t="shared" ref="H240:H252" si="189">F240*C240</f>
        <v>300</v>
      </c>
      <c r="I240" s="101">
        <v>10.0</v>
      </c>
      <c r="J240" s="102">
        <f t="shared" ref="J240:J252" si="190">ROUNDDOWN(C240/I240,0)</f>
        <v>2</v>
      </c>
      <c r="K240" s="136">
        <f>IFERROR(__xludf.DUMMYFUNCTION("TO_PERCENT(C240/I240-J240)"),0.0)</f>
        <v>0</v>
      </c>
      <c r="L240" s="101">
        <v>100.0</v>
      </c>
      <c r="M240" s="102">
        <f t="shared" ref="M240:M252" si="191">ROUNDDOWN(C240/L240,0)</f>
        <v>0</v>
      </c>
      <c r="N240" s="136">
        <f>IFERROR(__xludf.DUMMYFUNCTION("TO_PERCENT(C240/L240-M240)"),0.2)</f>
        <v>0.2</v>
      </c>
      <c r="O240" s="101">
        <v>2000.0</v>
      </c>
      <c r="P240" s="102">
        <f t="shared" ref="P240:P252" si="192">ROUNDDOWN($C240*$AJ$16/$AG$16/O240,0)</f>
        <v>0</v>
      </c>
      <c r="Q240" s="136">
        <f>IFERROR(__xludf.DUMMYFUNCTION("TO_PERCENT($C240*$AJ$16/$AG$16/O240-P240)"),0.004166666666666667)</f>
        <v>0.004166666667</v>
      </c>
      <c r="R240" s="136">
        <v>0.2</v>
      </c>
      <c r="S240" s="140">
        <f t="shared" ref="S240:S252" si="193">R240*(C240-J240-K240-M240-N240-P240-Q240)</f>
        <v>3.559166667</v>
      </c>
      <c r="T240" s="102"/>
      <c r="U240" s="136">
        <v>0.15</v>
      </c>
      <c r="V240" s="140">
        <f t="shared" ref="V240:V252" si="194">U240*(J240+K240)</f>
        <v>0.3</v>
      </c>
      <c r="W240" s="102"/>
      <c r="X240" s="136">
        <v>0.15</v>
      </c>
      <c r="Y240" s="140">
        <f t="shared" ref="Y240:Y252" si="195">X240*(M240+N240)</f>
        <v>0.03</v>
      </c>
      <c r="Z240" s="102"/>
      <c r="AA240" s="136">
        <v>0.25</v>
      </c>
      <c r="AB240" s="141">
        <f t="shared" ref="AB240:AB252" si="196">AA240*(P240+Q240)</f>
        <v>0.001041666667</v>
      </c>
      <c r="AC240" s="102"/>
      <c r="AD240" s="102"/>
      <c r="AE240" s="134"/>
      <c r="AF240" s="134"/>
      <c r="AG240" s="134"/>
      <c r="AH240" s="134"/>
      <c r="AI240" s="134"/>
      <c r="AJ240" s="134"/>
      <c r="AK240" s="134"/>
    </row>
    <row r="241">
      <c r="A241" s="101" t="s">
        <v>1656</v>
      </c>
      <c r="B241" s="102"/>
      <c r="C241" s="101">
        <v>30.0</v>
      </c>
      <c r="D241" s="101">
        <v>0.0</v>
      </c>
      <c r="E241" s="101">
        <v>15.0</v>
      </c>
      <c r="F241" s="101">
        <v>15.0</v>
      </c>
      <c r="G241" s="102">
        <f t="shared" si="188"/>
        <v>450</v>
      </c>
      <c r="H241" s="102">
        <f t="shared" si="189"/>
        <v>450</v>
      </c>
      <c r="I241" s="101">
        <v>10.0</v>
      </c>
      <c r="J241" s="102">
        <f t="shared" si="190"/>
        <v>3</v>
      </c>
      <c r="K241" s="136">
        <f>IFERROR(__xludf.DUMMYFUNCTION("TO_PERCENT(C241/I241-J241)"),0.0)</f>
        <v>0</v>
      </c>
      <c r="L241" s="101">
        <v>100.0</v>
      </c>
      <c r="M241" s="102">
        <f t="shared" si="191"/>
        <v>0</v>
      </c>
      <c r="N241" s="136">
        <f>IFERROR(__xludf.DUMMYFUNCTION("TO_PERCENT(C241/L241-M241)"),0.3)</f>
        <v>0.3</v>
      </c>
      <c r="O241" s="101">
        <v>2000.0</v>
      </c>
      <c r="P241" s="102">
        <f t="shared" si="192"/>
        <v>0</v>
      </c>
      <c r="Q241" s="136">
        <f>IFERROR(__xludf.DUMMYFUNCTION("TO_PERCENT($C241*$AJ$16/$AG$16/O241-P241)"),0.00625)</f>
        <v>0.00625</v>
      </c>
      <c r="R241" s="136">
        <v>0.2</v>
      </c>
      <c r="S241" s="140">
        <f t="shared" si="193"/>
        <v>5.33875</v>
      </c>
      <c r="T241" s="102"/>
      <c r="U241" s="136">
        <v>0.15</v>
      </c>
      <c r="V241" s="140">
        <f t="shared" si="194"/>
        <v>0.45</v>
      </c>
      <c r="W241" s="102"/>
      <c r="X241" s="136">
        <v>0.15</v>
      </c>
      <c r="Y241" s="140">
        <f t="shared" si="195"/>
        <v>0.045</v>
      </c>
      <c r="Z241" s="102"/>
      <c r="AA241" s="136">
        <v>0.25</v>
      </c>
      <c r="AB241" s="141">
        <f t="shared" si="196"/>
        <v>0.0015625</v>
      </c>
      <c r="AC241" s="102"/>
      <c r="AD241" s="102"/>
      <c r="AE241" s="134"/>
      <c r="AF241" s="134"/>
      <c r="AG241" s="134"/>
      <c r="AH241" s="134"/>
      <c r="AI241" s="134"/>
      <c r="AJ241" s="134"/>
      <c r="AK241" s="134"/>
    </row>
    <row r="242">
      <c r="A242" s="101" t="s">
        <v>1657</v>
      </c>
      <c r="B242" s="102"/>
      <c r="C242" s="101">
        <v>50.0</v>
      </c>
      <c r="D242" s="101">
        <v>0.0</v>
      </c>
      <c r="E242" s="101">
        <v>15.0</v>
      </c>
      <c r="F242" s="101">
        <v>15.0</v>
      </c>
      <c r="G242" s="102">
        <f t="shared" si="188"/>
        <v>750</v>
      </c>
      <c r="H242" s="102">
        <f t="shared" si="189"/>
        <v>750</v>
      </c>
      <c r="I242" s="101">
        <v>10.0</v>
      </c>
      <c r="J242" s="102">
        <f t="shared" si="190"/>
        <v>5</v>
      </c>
      <c r="K242" s="136">
        <f>IFERROR(__xludf.DUMMYFUNCTION("TO_PERCENT(C242/I242-J242)"),0.0)</f>
        <v>0</v>
      </c>
      <c r="L242" s="101">
        <v>100.0</v>
      </c>
      <c r="M242" s="102">
        <f t="shared" si="191"/>
        <v>0</v>
      </c>
      <c r="N242" s="136">
        <f>IFERROR(__xludf.DUMMYFUNCTION("TO_PERCENT(C242/L242-M242)"),0.5)</f>
        <v>0.5</v>
      </c>
      <c r="O242" s="101">
        <v>2000.0</v>
      </c>
      <c r="P242" s="102">
        <f t="shared" si="192"/>
        <v>0</v>
      </c>
      <c r="Q242" s="136">
        <f>IFERROR(__xludf.DUMMYFUNCTION("TO_PERCENT($C242*$AJ$16/$AG$16/O242-P242)"),0.010416666666666666)</f>
        <v>0.01041666667</v>
      </c>
      <c r="R242" s="136">
        <v>0.2</v>
      </c>
      <c r="S242" s="140">
        <f t="shared" si="193"/>
        <v>8.897916667</v>
      </c>
      <c r="T242" s="102"/>
      <c r="U242" s="136">
        <v>0.15</v>
      </c>
      <c r="V242" s="140">
        <f t="shared" si="194"/>
        <v>0.75</v>
      </c>
      <c r="W242" s="102"/>
      <c r="X242" s="136">
        <v>0.15</v>
      </c>
      <c r="Y242" s="140">
        <f t="shared" si="195"/>
        <v>0.075</v>
      </c>
      <c r="Z242" s="102"/>
      <c r="AA242" s="136">
        <v>0.25</v>
      </c>
      <c r="AB242" s="141">
        <f t="shared" si="196"/>
        <v>0.002604166667</v>
      </c>
      <c r="AC242" s="102"/>
      <c r="AD242" s="102"/>
      <c r="AE242" s="134"/>
      <c r="AF242" s="134"/>
      <c r="AG242" s="134"/>
      <c r="AH242" s="134"/>
      <c r="AI242" s="134"/>
      <c r="AJ242" s="134"/>
      <c r="AK242" s="134"/>
    </row>
    <row r="243">
      <c r="A243" s="101" t="s">
        <v>1658</v>
      </c>
      <c r="B243" s="102"/>
      <c r="C243" s="101">
        <v>85.0</v>
      </c>
      <c r="D243" s="101">
        <v>0.0</v>
      </c>
      <c r="E243" s="101">
        <v>15.0</v>
      </c>
      <c r="F243" s="101">
        <v>15.0</v>
      </c>
      <c r="G243" s="102">
        <f t="shared" si="188"/>
        <v>1275</v>
      </c>
      <c r="H243" s="102">
        <f t="shared" si="189"/>
        <v>1275</v>
      </c>
      <c r="I243" s="101">
        <v>10.0</v>
      </c>
      <c r="J243" s="102">
        <f t="shared" si="190"/>
        <v>8</v>
      </c>
      <c r="K243" s="136">
        <f>IFERROR(__xludf.DUMMYFUNCTION("TO_PERCENT(C243/I243-J243)"),0.5)</f>
        <v>0.5</v>
      </c>
      <c r="L243" s="101">
        <v>100.0</v>
      </c>
      <c r="M243" s="102">
        <f t="shared" si="191"/>
        <v>0</v>
      </c>
      <c r="N243" s="136">
        <f>IFERROR(__xludf.DUMMYFUNCTION("TO_PERCENT(C243/L243-M243)"),0.85)</f>
        <v>0.85</v>
      </c>
      <c r="O243" s="101">
        <v>2000.0</v>
      </c>
      <c r="P243" s="102">
        <f t="shared" si="192"/>
        <v>0</v>
      </c>
      <c r="Q243" s="136">
        <f>IFERROR(__xludf.DUMMYFUNCTION("TO_PERCENT($C243*$AJ$16/$AG$16/O243-P243)"),0.017708333333333333)</f>
        <v>0.01770833333</v>
      </c>
      <c r="R243" s="136">
        <v>0.2</v>
      </c>
      <c r="S243" s="140">
        <f t="shared" si="193"/>
        <v>15.12645833</v>
      </c>
      <c r="T243" s="102"/>
      <c r="U243" s="136">
        <v>0.15</v>
      </c>
      <c r="V243" s="140">
        <f t="shared" si="194"/>
        <v>1.275</v>
      </c>
      <c r="W243" s="102"/>
      <c r="X243" s="136">
        <v>0.15</v>
      </c>
      <c r="Y243" s="140">
        <f t="shared" si="195"/>
        <v>0.1275</v>
      </c>
      <c r="Z243" s="102"/>
      <c r="AA243" s="136">
        <v>0.25</v>
      </c>
      <c r="AB243" s="141">
        <f t="shared" si="196"/>
        <v>0.004427083333</v>
      </c>
      <c r="AC243" s="102"/>
      <c r="AD243" s="102"/>
      <c r="AE243" s="134"/>
      <c r="AF243" s="134"/>
      <c r="AG243" s="134"/>
      <c r="AH243" s="134"/>
      <c r="AI243" s="134"/>
      <c r="AJ243" s="134"/>
      <c r="AK243" s="134"/>
    </row>
    <row r="244">
      <c r="A244" s="101" t="s">
        <v>1659</v>
      </c>
      <c r="B244" s="102"/>
      <c r="C244" s="101">
        <v>130.0</v>
      </c>
      <c r="D244" s="101">
        <v>0.0</v>
      </c>
      <c r="E244" s="101">
        <v>15.0</v>
      </c>
      <c r="F244" s="101">
        <v>15.0</v>
      </c>
      <c r="G244" s="102">
        <f t="shared" si="188"/>
        <v>1950</v>
      </c>
      <c r="H244" s="102">
        <f t="shared" si="189"/>
        <v>1950</v>
      </c>
      <c r="I244" s="101">
        <v>10.0</v>
      </c>
      <c r="J244" s="102">
        <f t="shared" si="190"/>
        <v>13</v>
      </c>
      <c r="K244" s="136">
        <f>IFERROR(__xludf.DUMMYFUNCTION("TO_PERCENT(C244/I244-J244)"),0.0)</f>
        <v>0</v>
      </c>
      <c r="L244" s="101">
        <v>100.0</v>
      </c>
      <c r="M244" s="102">
        <f t="shared" si="191"/>
        <v>1</v>
      </c>
      <c r="N244" s="136">
        <f>IFERROR(__xludf.DUMMYFUNCTION("TO_PERCENT(C244/L244-M244)"),0.30000000000000004)</f>
        <v>0.3</v>
      </c>
      <c r="O244" s="101">
        <v>2000.0</v>
      </c>
      <c r="P244" s="102">
        <f t="shared" si="192"/>
        <v>0</v>
      </c>
      <c r="Q244" s="136">
        <f>IFERROR(__xludf.DUMMYFUNCTION("TO_PERCENT($C244*$AJ$16/$AG$16/O244-P244)"),0.02708333333333333)</f>
        <v>0.02708333333</v>
      </c>
      <c r="R244" s="136">
        <v>0.2</v>
      </c>
      <c r="S244" s="140">
        <f t="shared" si="193"/>
        <v>23.13458333</v>
      </c>
      <c r="T244" s="102"/>
      <c r="U244" s="136">
        <v>0.15</v>
      </c>
      <c r="V244" s="140">
        <f t="shared" si="194"/>
        <v>1.95</v>
      </c>
      <c r="W244" s="102"/>
      <c r="X244" s="136">
        <v>0.15</v>
      </c>
      <c r="Y244" s="140">
        <f t="shared" si="195"/>
        <v>0.195</v>
      </c>
      <c r="Z244" s="102"/>
      <c r="AA244" s="136">
        <v>0.25</v>
      </c>
      <c r="AB244" s="141">
        <f t="shared" si="196"/>
        <v>0.006770833333</v>
      </c>
      <c r="AC244" s="102"/>
      <c r="AD244" s="102"/>
      <c r="AE244" s="134"/>
      <c r="AF244" s="134"/>
      <c r="AG244" s="134"/>
      <c r="AH244" s="134"/>
      <c r="AI244" s="134"/>
      <c r="AJ244" s="134"/>
      <c r="AK244" s="134"/>
    </row>
    <row r="245">
      <c r="A245" s="101" t="s">
        <v>1660</v>
      </c>
      <c r="B245" s="102"/>
      <c r="C245" s="101">
        <v>185.0</v>
      </c>
      <c r="D245" s="101">
        <v>0.0</v>
      </c>
      <c r="E245" s="101">
        <v>15.0</v>
      </c>
      <c r="F245" s="101">
        <v>15.0</v>
      </c>
      <c r="G245" s="102">
        <f t="shared" si="188"/>
        <v>2775</v>
      </c>
      <c r="H245" s="102">
        <f t="shared" si="189"/>
        <v>2775</v>
      </c>
      <c r="I245" s="101">
        <v>10.0</v>
      </c>
      <c r="J245" s="102">
        <f t="shared" si="190"/>
        <v>18</v>
      </c>
      <c r="K245" s="136">
        <f>IFERROR(__xludf.DUMMYFUNCTION("TO_PERCENT(C245/I245-J245)"),0.5)</f>
        <v>0.5</v>
      </c>
      <c r="L245" s="101">
        <v>100.0</v>
      </c>
      <c r="M245" s="102">
        <f t="shared" si="191"/>
        <v>1</v>
      </c>
      <c r="N245" s="136">
        <f>IFERROR(__xludf.DUMMYFUNCTION("TO_PERCENT(C245/L245-M245)"),0.8500000000000001)</f>
        <v>0.85</v>
      </c>
      <c r="O245" s="101">
        <v>2000.0</v>
      </c>
      <c r="P245" s="102">
        <f t="shared" si="192"/>
        <v>0</v>
      </c>
      <c r="Q245" s="136">
        <f>IFERROR(__xludf.DUMMYFUNCTION("TO_PERCENT($C245*$AJ$16/$AG$16/O245-P245)"),0.03854166666666666)</f>
        <v>0.03854166667</v>
      </c>
      <c r="R245" s="136">
        <v>0.2</v>
      </c>
      <c r="S245" s="140">
        <f t="shared" si="193"/>
        <v>32.92229167</v>
      </c>
      <c r="T245" s="102"/>
      <c r="U245" s="136">
        <v>0.15</v>
      </c>
      <c r="V245" s="140">
        <f t="shared" si="194"/>
        <v>2.775</v>
      </c>
      <c r="W245" s="102"/>
      <c r="X245" s="136">
        <v>0.15</v>
      </c>
      <c r="Y245" s="140">
        <f t="shared" si="195"/>
        <v>0.2775</v>
      </c>
      <c r="Z245" s="102"/>
      <c r="AA245" s="136">
        <v>0.25</v>
      </c>
      <c r="AB245" s="141">
        <f t="shared" si="196"/>
        <v>0.009635416667</v>
      </c>
      <c r="AC245" s="102"/>
      <c r="AD245" s="102"/>
      <c r="AE245" s="134"/>
      <c r="AF245" s="134"/>
      <c r="AG245" s="134"/>
      <c r="AH245" s="134"/>
      <c r="AI245" s="134"/>
      <c r="AJ245" s="134"/>
      <c r="AK245" s="134"/>
    </row>
    <row r="246">
      <c r="A246" s="101" t="s">
        <v>1661</v>
      </c>
      <c r="B246" s="102"/>
      <c r="C246" s="101">
        <v>250.0</v>
      </c>
      <c r="D246" s="101">
        <v>0.0</v>
      </c>
      <c r="E246" s="101">
        <v>15.0</v>
      </c>
      <c r="F246" s="101">
        <v>15.0</v>
      </c>
      <c r="G246" s="102">
        <f t="shared" si="188"/>
        <v>3750</v>
      </c>
      <c r="H246" s="102">
        <f t="shared" si="189"/>
        <v>3750</v>
      </c>
      <c r="I246" s="101">
        <v>10.0</v>
      </c>
      <c r="J246" s="102">
        <f t="shared" si="190"/>
        <v>25</v>
      </c>
      <c r="K246" s="136">
        <f>IFERROR(__xludf.DUMMYFUNCTION("TO_PERCENT(C246/I246-J246)"),0.0)</f>
        <v>0</v>
      </c>
      <c r="L246" s="101">
        <v>100.0</v>
      </c>
      <c r="M246" s="102">
        <f t="shared" si="191"/>
        <v>2</v>
      </c>
      <c r="N246" s="136">
        <f>IFERROR(__xludf.DUMMYFUNCTION("TO_PERCENT(C246/L246-M246)"),0.5)</f>
        <v>0.5</v>
      </c>
      <c r="O246" s="101">
        <v>2000.0</v>
      </c>
      <c r="P246" s="102">
        <f t="shared" si="192"/>
        <v>0</v>
      </c>
      <c r="Q246" s="136">
        <f>IFERROR(__xludf.DUMMYFUNCTION("TO_PERCENT($C246*$AJ$16/$AG$16/O246-P246)"),0.052083333333333336)</f>
        <v>0.05208333333</v>
      </c>
      <c r="R246" s="136">
        <v>0.2</v>
      </c>
      <c r="S246" s="140">
        <f t="shared" si="193"/>
        <v>44.48958333</v>
      </c>
      <c r="T246" s="102"/>
      <c r="U246" s="136">
        <v>0.15</v>
      </c>
      <c r="V246" s="140">
        <f t="shared" si="194"/>
        <v>3.75</v>
      </c>
      <c r="W246" s="102"/>
      <c r="X246" s="136">
        <v>0.15</v>
      </c>
      <c r="Y246" s="140">
        <f t="shared" si="195"/>
        <v>0.375</v>
      </c>
      <c r="Z246" s="102"/>
      <c r="AA246" s="136">
        <v>0.25</v>
      </c>
      <c r="AB246" s="141">
        <f t="shared" si="196"/>
        <v>0.01302083333</v>
      </c>
      <c r="AC246" s="102"/>
      <c r="AD246" s="102"/>
      <c r="AE246" s="134"/>
      <c r="AF246" s="134"/>
      <c r="AG246" s="134"/>
      <c r="AH246" s="134"/>
      <c r="AI246" s="134"/>
      <c r="AJ246" s="134"/>
      <c r="AK246" s="134"/>
    </row>
    <row r="247">
      <c r="A247" s="101" t="s">
        <v>1662</v>
      </c>
      <c r="B247" s="102"/>
      <c r="C247" s="101">
        <v>330.0</v>
      </c>
      <c r="D247" s="101">
        <v>0.0</v>
      </c>
      <c r="E247" s="101">
        <v>15.0</v>
      </c>
      <c r="F247" s="101">
        <v>15.0</v>
      </c>
      <c r="G247" s="102">
        <f t="shared" si="188"/>
        <v>4950</v>
      </c>
      <c r="H247" s="102">
        <f t="shared" si="189"/>
        <v>4950</v>
      </c>
      <c r="I247" s="101">
        <v>10.0</v>
      </c>
      <c r="J247" s="102">
        <f t="shared" si="190"/>
        <v>33</v>
      </c>
      <c r="K247" s="136">
        <f>IFERROR(__xludf.DUMMYFUNCTION("TO_PERCENT(C247/I247-J247)"),0.0)</f>
        <v>0</v>
      </c>
      <c r="L247" s="101">
        <v>100.0</v>
      </c>
      <c r="M247" s="102">
        <f t="shared" si="191"/>
        <v>3</v>
      </c>
      <c r="N247" s="136">
        <f>IFERROR(__xludf.DUMMYFUNCTION("TO_PERCENT(C247/L247-M247)"),0.2999999999999998)</f>
        <v>0.3</v>
      </c>
      <c r="O247" s="101">
        <v>2000.0</v>
      </c>
      <c r="P247" s="102">
        <f t="shared" si="192"/>
        <v>0</v>
      </c>
      <c r="Q247" s="136">
        <f>IFERROR(__xludf.DUMMYFUNCTION("TO_PERCENT($C247*$AJ$16/$AG$16/O247-P247)"),0.06875)</f>
        <v>0.06875</v>
      </c>
      <c r="R247" s="136">
        <v>0.2</v>
      </c>
      <c r="S247" s="140">
        <f t="shared" si="193"/>
        <v>58.72625</v>
      </c>
      <c r="T247" s="102"/>
      <c r="U247" s="136">
        <v>0.15</v>
      </c>
      <c r="V247" s="140">
        <f t="shared" si="194"/>
        <v>4.95</v>
      </c>
      <c r="W247" s="102"/>
      <c r="X247" s="136">
        <v>0.15</v>
      </c>
      <c r="Y247" s="140">
        <f t="shared" si="195"/>
        <v>0.495</v>
      </c>
      <c r="Z247" s="102"/>
      <c r="AA247" s="136">
        <v>0.25</v>
      </c>
      <c r="AB247" s="141">
        <f t="shared" si="196"/>
        <v>0.0171875</v>
      </c>
      <c r="AC247" s="102"/>
      <c r="AD247" s="102"/>
      <c r="AE247" s="134"/>
      <c r="AF247" s="134"/>
      <c r="AG247" s="134"/>
      <c r="AH247" s="134"/>
      <c r="AI247" s="134"/>
      <c r="AJ247" s="134"/>
      <c r="AK247" s="134"/>
    </row>
    <row r="248">
      <c r="A248" s="101" t="s">
        <v>1663</v>
      </c>
      <c r="B248" s="102"/>
      <c r="C248" s="101">
        <v>420.0</v>
      </c>
      <c r="D248" s="101">
        <v>0.0</v>
      </c>
      <c r="E248" s="101">
        <v>15.0</v>
      </c>
      <c r="F248" s="101">
        <v>15.0</v>
      </c>
      <c r="G248" s="102">
        <f t="shared" si="188"/>
        <v>6300</v>
      </c>
      <c r="H248" s="102">
        <f t="shared" si="189"/>
        <v>6300</v>
      </c>
      <c r="I248" s="101">
        <v>10.0</v>
      </c>
      <c r="J248" s="102">
        <f t="shared" si="190"/>
        <v>42</v>
      </c>
      <c r="K248" s="136">
        <f>IFERROR(__xludf.DUMMYFUNCTION("TO_PERCENT(C248/I248-J248)"),0.0)</f>
        <v>0</v>
      </c>
      <c r="L248" s="101">
        <v>100.0</v>
      </c>
      <c r="M248" s="102">
        <f t="shared" si="191"/>
        <v>4</v>
      </c>
      <c r="N248" s="136">
        <f>IFERROR(__xludf.DUMMYFUNCTION("TO_PERCENT(C248/L248-M248)"),0.20000000000000018)</f>
        <v>0.2</v>
      </c>
      <c r="O248" s="101">
        <v>2000.0</v>
      </c>
      <c r="P248" s="102">
        <f t="shared" si="192"/>
        <v>0</v>
      </c>
      <c r="Q248" s="136">
        <f>IFERROR(__xludf.DUMMYFUNCTION("TO_PERCENT($C248*$AJ$16/$AG$16/O248-P248)"),0.0875)</f>
        <v>0.0875</v>
      </c>
      <c r="R248" s="136">
        <v>0.2</v>
      </c>
      <c r="S248" s="140">
        <f t="shared" si="193"/>
        <v>74.7425</v>
      </c>
      <c r="T248" s="102"/>
      <c r="U248" s="136">
        <v>0.15</v>
      </c>
      <c r="V248" s="140">
        <f t="shared" si="194"/>
        <v>6.3</v>
      </c>
      <c r="W248" s="102"/>
      <c r="X248" s="136">
        <v>0.15</v>
      </c>
      <c r="Y248" s="140">
        <f t="shared" si="195"/>
        <v>0.63</v>
      </c>
      <c r="Z248" s="102"/>
      <c r="AA248" s="136">
        <v>0.25</v>
      </c>
      <c r="AB248" s="141">
        <f t="shared" si="196"/>
        <v>0.021875</v>
      </c>
      <c r="AC248" s="102"/>
      <c r="AD248" s="102"/>
      <c r="AE248" s="134"/>
      <c r="AF248" s="134"/>
      <c r="AG248" s="134"/>
      <c r="AH248" s="134"/>
      <c r="AI248" s="134"/>
      <c r="AJ248" s="134"/>
      <c r="AK248" s="134"/>
    </row>
    <row r="249">
      <c r="A249" s="101" t="s">
        <v>1664</v>
      </c>
      <c r="B249" s="102"/>
      <c r="C249" s="101">
        <v>530.0</v>
      </c>
      <c r="D249" s="101">
        <v>0.0</v>
      </c>
      <c r="E249" s="101">
        <v>15.0</v>
      </c>
      <c r="F249" s="101">
        <v>15.0</v>
      </c>
      <c r="G249" s="102">
        <f t="shared" si="188"/>
        <v>7950</v>
      </c>
      <c r="H249" s="102">
        <f t="shared" si="189"/>
        <v>7950</v>
      </c>
      <c r="I249" s="101">
        <v>10.0</v>
      </c>
      <c r="J249" s="102">
        <f t="shared" si="190"/>
        <v>53</v>
      </c>
      <c r="K249" s="136">
        <f>IFERROR(__xludf.DUMMYFUNCTION("TO_PERCENT(C249/I249-J249)"),0.0)</f>
        <v>0</v>
      </c>
      <c r="L249" s="101">
        <v>100.0</v>
      </c>
      <c r="M249" s="102">
        <f t="shared" si="191"/>
        <v>5</v>
      </c>
      <c r="N249" s="136">
        <f>IFERROR(__xludf.DUMMYFUNCTION("TO_PERCENT(C249/L249-M249)"),0.2999999999999998)</f>
        <v>0.3</v>
      </c>
      <c r="O249" s="101">
        <v>2000.0</v>
      </c>
      <c r="P249" s="102">
        <f t="shared" si="192"/>
        <v>0</v>
      </c>
      <c r="Q249" s="136">
        <f>IFERROR(__xludf.DUMMYFUNCTION("TO_PERCENT($C249*$AJ$16/$AG$16/O249-P249)"),0.11041666666666668)</f>
        <v>0.1104166667</v>
      </c>
      <c r="R249" s="136">
        <v>0.2</v>
      </c>
      <c r="S249" s="140">
        <f t="shared" si="193"/>
        <v>94.31791667</v>
      </c>
      <c r="T249" s="102"/>
      <c r="U249" s="136">
        <v>0.15</v>
      </c>
      <c r="V249" s="140">
        <f t="shared" si="194"/>
        <v>7.95</v>
      </c>
      <c r="W249" s="102"/>
      <c r="X249" s="136">
        <v>0.15</v>
      </c>
      <c r="Y249" s="140">
        <f t="shared" si="195"/>
        <v>0.795</v>
      </c>
      <c r="Z249" s="102"/>
      <c r="AA249" s="136">
        <v>0.25</v>
      </c>
      <c r="AB249" s="141">
        <f t="shared" si="196"/>
        <v>0.02760416667</v>
      </c>
      <c r="AC249" s="102"/>
      <c r="AD249" s="102"/>
      <c r="AE249" s="134"/>
      <c r="AF249" s="134"/>
      <c r="AG249" s="134"/>
      <c r="AH249" s="134"/>
      <c r="AI249" s="134"/>
      <c r="AJ249" s="134"/>
      <c r="AK249" s="134"/>
    </row>
    <row r="250">
      <c r="A250" s="101" t="s">
        <v>1665</v>
      </c>
      <c r="B250" s="102"/>
      <c r="C250" s="101">
        <v>670.0</v>
      </c>
      <c r="D250" s="101">
        <v>0.0</v>
      </c>
      <c r="E250" s="101">
        <v>15.0</v>
      </c>
      <c r="F250" s="101">
        <v>15.0</v>
      </c>
      <c r="G250" s="102">
        <f t="shared" si="188"/>
        <v>10050</v>
      </c>
      <c r="H250" s="102">
        <f t="shared" si="189"/>
        <v>10050</v>
      </c>
      <c r="I250" s="101">
        <v>10.0</v>
      </c>
      <c r="J250" s="102">
        <f t="shared" si="190"/>
        <v>67</v>
      </c>
      <c r="K250" s="136">
        <f>IFERROR(__xludf.DUMMYFUNCTION("TO_PERCENT(C250/I250-J250)"),0.0)</f>
        <v>0</v>
      </c>
      <c r="L250" s="101">
        <v>100.0</v>
      </c>
      <c r="M250" s="102">
        <f t="shared" si="191"/>
        <v>6</v>
      </c>
      <c r="N250" s="136">
        <f>IFERROR(__xludf.DUMMYFUNCTION("TO_PERCENT(C250/L250-M250)"),0.7000000000000002)</f>
        <v>0.7</v>
      </c>
      <c r="O250" s="101">
        <v>2000.0</v>
      </c>
      <c r="P250" s="102">
        <f t="shared" si="192"/>
        <v>0</v>
      </c>
      <c r="Q250" s="136">
        <f>IFERROR(__xludf.DUMMYFUNCTION("TO_PERCENT($C250*$AJ$16/$AG$16/O250-P250)"),0.13958333333333334)</f>
        <v>0.1395833333</v>
      </c>
      <c r="R250" s="136">
        <v>0.2</v>
      </c>
      <c r="S250" s="140">
        <f t="shared" si="193"/>
        <v>119.2320833</v>
      </c>
      <c r="T250" s="102"/>
      <c r="U250" s="136">
        <v>0.15</v>
      </c>
      <c r="V250" s="140">
        <f t="shared" si="194"/>
        <v>10.05</v>
      </c>
      <c r="W250" s="102"/>
      <c r="X250" s="136">
        <v>0.15</v>
      </c>
      <c r="Y250" s="140">
        <f t="shared" si="195"/>
        <v>1.005</v>
      </c>
      <c r="Z250" s="102"/>
      <c r="AA250" s="136">
        <v>0.25</v>
      </c>
      <c r="AB250" s="141">
        <f t="shared" si="196"/>
        <v>0.03489583333</v>
      </c>
      <c r="AC250" s="102"/>
      <c r="AD250" s="102"/>
      <c r="AE250" s="134"/>
      <c r="AF250" s="134"/>
      <c r="AG250" s="134"/>
      <c r="AH250" s="134"/>
      <c r="AI250" s="134"/>
      <c r="AJ250" s="134"/>
      <c r="AK250" s="134"/>
    </row>
    <row r="251">
      <c r="A251" s="101" t="s">
        <v>1666</v>
      </c>
      <c r="B251" s="102"/>
      <c r="C251" s="101">
        <v>860.0</v>
      </c>
      <c r="D251" s="101">
        <v>0.0</v>
      </c>
      <c r="E251" s="101">
        <v>15.0</v>
      </c>
      <c r="F251" s="101">
        <v>15.0</v>
      </c>
      <c r="G251" s="102">
        <f t="shared" si="188"/>
        <v>12900</v>
      </c>
      <c r="H251" s="102">
        <f t="shared" si="189"/>
        <v>12900</v>
      </c>
      <c r="I251" s="101">
        <v>10.0</v>
      </c>
      <c r="J251" s="102">
        <f t="shared" si="190"/>
        <v>86</v>
      </c>
      <c r="K251" s="136">
        <f>IFERROR(__xludf.DUMMYFUNCTION("TO_PERCENT(C251/I251-J251)"),0.0)</f>
        <v>0</v>
      </c>
      <c r="L251" s="101">
        <v>100.0</v>
      </c>
      <c r="M251" s="102">
        <f t="shared" si="191"/>
        <v>8</v>
      </c>
      <c r="N251" s="136">
        <f>IFERROR(__xludf.DUMMYFUNCTION("TO_PERCENT(C251/L251-M251)"),0.5999999999999996)</f>
        <v>0.6</v>
      </c>
      <c r="O251" s="101">
        <v>2000.0</v>
      </c>
      <c r="P251" s="102">
        <f t="shared" si="192"/>
        <v>0</v>
      </c>
      <c r="Q251" s="136">
        <f>IFERROR(__xludf.DUMMYFUNCTION("TO_PERCENT($C251*$AJ$16/$AG$16/O251-P251)"),0.17916666666666667)</f>
        <v>0.1791666667</v>
      </c>
      <c r="R251" s="136">
        <v>0.2</v>
      </c>
      <c r="S251" s="140">
        <f t="shared" si="193"/>
        <v>153.0441667</v>
      </c>
      <c r="T251" s="102"/>
      <c r="U251" s="136">
        <v>0.15</v>
      </c>
      <c r="V251" s="140">
        <f t="shared" si="194"/>
        <v>12.9</v>
      </c>
      <c r="W251" s="102"/>
      <c r="X251" s="136">
        <v>0.15</v>
      </c>
      <c r="Y251" s="140">
        <f t="shared" si="195"/>
        <v>1.29</v>
      </c>
      <c r="Z251" s="102"/>
      <c r="AA251" s="136">
        <v>0.25</v>
      </c>
      <c r="AB251" s="141">
        <f t="shared" si="196"/>
        <v>0.04479166667</v>
      </c>
      <c r="AC251" s="102"/>
      <c r="AD251" s="102"/>
      <c r="AE251" s="134"/>
      <c r="AF251" s="134"/>
      <c r="AG251" s="134"/>
      <c r="AH251" s="134"/>
      <c r="AI251" s="134"/>
      <c r="AJ251" s="134"/>
      <c r="AK251" s="134"/>
    </row>
    <row r="252">
      <c r="A252" s="101" t="s">
        <v>1667</v>
      </c>
      <c r="B252" s="102"/>
      <c r="C252" s="101">
        <v>1100.0</v>
      </c>
      <c r="D252" s="101">
        <v>0.0</v>
      </c>
      <c r="E252" s="101">
        <v>15.0</v>
      </c>
      <c r="F252" s="101">
        <v>15.0</v>
      </c>
      <c r="G252" s="102">
        <f t="shared" si="188"/>
        <v>16500</v>
      </c>
      <c r="H252" s="102">
        <f t="shared" si="189"/>
        <v>16500</v>
      </c>
      <c r="I252" s="101">
        <v>10.0</v>
      </c>
      <c r="J252" s="102">
        <f t="shared" si="190"/>
        <v>110</v>
      </c>
      <c r="K252" s="136">
        <f>IFERROR(__xludf.DUMMYFUNCTION("TO_PERCENT(C252/I252-J252)"),0.0)</f>
        <v>0</v>
      </c>
      <c r="L252" s="101">
        <v>100.0</v>
      </c>
      <c r="M252" s="102">
        <f t="shared" si="191"/>
        <v>11</v>
      </c>
      <c r="N252" s="136">
        <f>IFERROR(__xludf.DUMMYFUNCTION("TO_PERCENT(C252/L252-M252)"),0.0)</f>
        <v>0</v>
      </c>
      <c r="O252" s="101">
        <v>2000.0</v>
      </c>
      <c r="P252" s="102">
        <f t="shared" si="192"/>
        <v>0</v>
      </c>
      <c r="Q252" s="136">
        <f>IFERROR(__xludf.DUMMYFUNCTION("TO_PERCENT($C252*$AJ$16/$AG$16/O252-P252)"),0.22916666666666666)</f>
        <v>0.2291666667</v>
      </c>
      <c r="R252" s="136">
        <v>0.2</v>
      </c>
      <c r="S252" s="140">
        <f t="shared" si="193"/>
        <v>195.7541667</v>
      </c>
      <c r="T252" s="102"/>
      <c r="U252" s="136">
        <v>0.15</v>
      </c>
      <c r="V252" s="140">
        <f t="shared" si="194"/>
        <v>16.5</v>
      </c>
      <c r="W252" s="102"/>
      <c r="X252" s="136">
        <v>0.15</v>
      </c>
      <c r="Y252" s="140">
        <f t="shared" si="195"/>
        <v>1.65</v>
      </c>
      <c r="Z252" s="102"/>
      <c r="AA252" s="136">
        <v>0.25</v>
      </c>
      <c r="AB252" s="141">
        <f t="shared" si="196"/>
        <v>0.05729166667</v>
      </c>
      <c r="AC252" s="102"/>
      <c r="AD252" s="102"/>
      <c r="AE252" s="134"/>
      <c r="AF252" s="134"/>
      <c r="AG252" s="134"/>
      <c r="AH252" s="134"/>
      <c r="AI252" s="134"/>
      <c r="AJ252" s="134"/>
      <c r="AK252" s="134"/>
    </row>
    <row r="253">
      <c r="A253" s="135" t="s">
        <v>1668</v>
      </c>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5"/>
      <c r="AE253" s="134"/>
      <c r="AF253" s="134"/>
      <c r="AG253" s="134"/>
      <c r="AH253" s="134"/>
      <c r="AI253" s="134"/>
      <c r="AJ253" s="134"/>
      <c r="AK253" s="134"/>
    </row>
    <row r="254">
      <c r="A254" s="101" t="s">
        <v>1655</v>
      </c>
      <c r="B254" s="102"/>
      <c r="C254" s="101">
        <v>2.0</v>
      </c>
      <c r="D254" s="101">
        <v>0.0</v>
      </c>
      <c r="E254" s="101">
        <v>15.0</v>
      </c>
      <c r="F254" s="101">
        <v>15.0</v>
      </c>
      <c r="G254" s="102">
        <f t="shared" ref="G254:G266" si="197">E254*C254</f>
        <v>30</v>
      </c>
      <c r="H254" s="102">
        <f t="shared" ref="H254:H266" si="198">F254*C254</f>
        <v>30</v>
      </c>
      <c r="I254" s="101">
        <v>10.0</v>
      </c>
      <c r="J254" s="102">
        <f t="shared" ref="J254:J266" si="199">ROUNDDOWN(C254/I254,0)</f>
        <v>0</v>
      </c>
      <c r="K254" s="136">
        <f>IFERROR(__xludf.DUMMYFUNCTION("TO_PERCENT(C254/I254-J254)"),0.2)</f>
        <v>0.2</v>
      </c>
      <c r="L254" s="101">
        <v>100.0</v>
      </c>
      <c r="M254" s="102">
        <f t="shared" ref="M254:M266" si="200">ROUNDDOWN(C254/L254,0)</f>
        <v>0</v>
      </c>
      <c r="N254" s="136">
        <f>IFERROR(__xludf.DUMMYFUNCTION("TO_PERCENT(C254/L254-M254)"),0.02)</f>
        <v>0.02</v>
      </c>
      <c r="O254" s="101">
        <v>2000.0</v>
      </c>
      <c r="P254" s="102">
        <f t="shared" ref="P254:P266" si="201">ROUNDDOWN($C254*$AJ$16/$AG$16/O254,0)</f>
        <v>0</v>
      </c>
      <c r="Q254" s="136">
        <f>IFERROR(__xludf.DUMMYFUNCTION("TO_PERCENT($C254*$AJ$16/$AG$16/O254-P254)"),4.166666666666667E-4)</f>
        <v>0.0004166666667</v>
      </c>
      <c r="R254" s="136">
        <v>0.2</v>
      </c>
      <c r="S254" s="140">
        <f t="shared" ref="S254:S266" si="202">R254*(C254-J254-K254-M254-N254-P254-Q254)</f>
        <v>0.3559166667</v>
      </c>
      <c r="T254" s="102"/>
      <c r="U254" s="136">
        <v>0.15</v>
      </c>
      <c r="V254" s="140">
        <f t="shared" ref="V254:V266" si="203">U254*(J254+K254)</f>
        <v>0.03</v>
      </c>
      <c r="W254" s="102"/>
      <c r="X254" s="136">
        <v>0.15</v>
      </c>
      <c r="Y254" s="140">
        <f t="shared" ref="Y254:Y266" si="204">X254*(M254+N254)</f>
        <v>0.003</v>
      </c>
      <c r="Z254" s="102"/>
      <c r="AA254" s="136">
        <v>0.25</v>
      </c>
      <c r="AB254" s="141">
        <f t="shared" ref="AB254:AB266" si="205">AA254*(P254+Q254)</f>
        <v>0.0001041666667</v>
      </c>
      <c r="AC254" s="102"/>
      <c r="AD254" s="102"/>
      <c r="AE254" s="134"/>
      <c r="AF254" s="134"/>
      <c r="AG254" s="134"/>
      <c r="AH254" s="134"/>
      <c r="AI254" s="134"/>
      <c r="AJ254" s="134"/>
      <c r="AK254" s="134"/>
    </row>
    <row r="255">
      <c r="A255" s="101" t="s">
        <v>1656</v>
      </c>
      <c r="B255" s="102"/>
      <c r="C255" s="101">
        <v>3.0</v>
      </c>
      <c r="D255" s="101">
        <v>0.0</v>
      </c>
      <c r="E255" s="101">
        <v>15.0</v>
      </c>
      <c r="F255" s="101">
        <v>15.0</v>
      </c>
      <c r="G255" s="102">
        <f t="shared" si="197"/>
        <v>45</v>
      </c>
      <c r="H255" s="102">
        <f t="shared" si="198"/>
        <v>45</v>
      </c>
      <c r="I255" s="101">
        <v>10.0</v>
      </c>
      <c r="J255" s="102">
        <f t="shared" si="199"/>
        <v>0</v>
      </c>
      <c r="K255" s="136">
        <f>IFERROR(__xludf.DUMMYFUNCTION("TO_PERCENT(C255/I255-J255)"),0.3)</f>
        <v>0.3</v>
      </c>
      <c r="L255" s="101">
        <v>100.0</v>
      </c>
      <c r="M255" s="102">
        <f t="shared" si="200"/>
        <v>0</v>
      </c>
      <c r="N255" s="136">
        <f>IFERROR(__xludf.DUMMYFUNCTION("TO_PERCENT(C255/L255-M255)"),0.03)</f>
        <v>0.03</v>
      </c>
      <c r="O255" s="101">
        <v>2000.0</v>
      </c>
      <c r="P255" s="102">
        <f t="shared" si="201"/>
        <v>0</v>
      </c>
      <c r="Q255" s="136">
        <f>IFERROR(__xludf.DUMMYFUNCTION("TO_PERCENT($C255*$AJ$16/$AG$16/O255-P255)"),6.25E-4)</f>
        <v>0.000625</v>
      </c>
      <c r="R255" s="136">
        <v>0.2</v>
      </c>
      <c r="S255" s="140">
        <f t="shared" si="202"/>
        <v>0.533875</v>
      </c>
      <c r="T255" s="102"/>
      <c r="U255" s="136">
        <v>0.15</v>
      </c>
      <c r="V255" s="140">
        <f t="shared" si="203"/>
        <v>0.045</v>
      </c>
      <c r="W255" s="102"/>
      <c r="X255" s="136">
        <v>0.15</v>
      </c>
      <c r="Y255" s="140">
        <f t="shared" si="204"/>
        <v>0.0045</v>
      </c>
      <c r="Z255" s="102"/>
      <c r="AA255" s="136">
        <v>0.25</v>
      </c>
      <c r="AB255" s="141">
        <f t="shared" si="205"/>
        <v>0.00015625</v>
      </c>
      <c r="AC255" s="102"/>
      <c r="AD255" s="102"/>
      <c r="AE255" s="134"/>
      <c r="AF255" s="134"/>
      <c r="AG255" s="134"/>
      <c r="AH255" s="134"/>
      <c r="AI255" s="134"/>
      <c r="AJ255" s="134"/>
      <c r="AK255" s="134"/>
    </row>
    <row r="256">
      <c r="A256" s="101" t="s">
        <v>1657</v>
      </c>
      <c r="B256" s="102"/>
      <c r="C256" s="101">
        <v>5.0</v>
      </c>
      <c r="D256" s="101">
        <v>0.0</v>
      </c>
      <c r="E256" s="101">
        <v>15.0</v>
      </c>
      <c r="F256" s="101">
        <v>15.0</v>
      </c>
      <c r="G256" s="102">
        <f t="shared" si="197"/>
        <v>75</v>
      </c>
      <c r="H256" s="102">
        <f t="shared" si="198"/>
        <v>75</v>
      </c>
      <c r="I256" s="101">
        <v>10.0</v>
      </c>
      <c r="J256" s="102">
        <f t="shared" si="199"/>
        <v>0</v>
      </c>
      <c r="K256" s="136">
        <f>IFERROR(__xludf.DUMMYFUNCTION("TO_PERCENT(C256/I256-J256)"),0.5)</f>
        <v>0.5</v>
      </c>
      <c r="L256" s="101">
        <v>100.0</v>
      </c>
      <c r="M256" s="102">
        <f t="shared" si="200"/>
        <v>0</v>
      </c>
      <c r="N256" s="136">
        <f>IFERROR(__xludf.DUMMYFUNCTION("TO_PERCENT(C256/L256-M256)"),0.05)</f>
        <v>0.05</v>
      </c>
      <c r="O256" s="101">
        <v>2000.0</v>
      </c>
      <c r="P256" s="102">
        <f t="shared" si="201"/>
        <v>0</v>
      </c>
      <c r="Q256" s="136">
        <f>IFERROR(__xludf.DUMMYFUNCTION("TO_PERCENT($C256*$AJ$16/$AG$16/O256-P256)"),0.0010416666666666667)</f>
        <v>0.001041666667</v>
      </c>
      <c r="R256" s="136">
        <v>0.2</v>
      </c>
      <c r="S256" s="140">
        <f t="shared" si="202"/>
        <v>0.8897916667</v>
      </c>
      <c r="T256" s="102"/>
      <c r="U256" s="136">
        <v>0.15</v>
      </c>
      <c r="V256" s="140">
        <f t="shared" si="203"/>
        <v>0.075</v>
      </c>
      <c r="W256" s="102"/>
      <c r="X256" s="136">
        <v>0.15</v>
      </c>
      <c r="Y256" s="140">
        <f t="shared" si="204"/>
        <v>0.0075</v>
      </c>
      <c r="Z256" s="102"/>
      <c r="AA256" s="136">
        <v>0.25</v>
      </c>
      <c r="AB256" s="141">
        <f t="shared" si="205"/>
        <v>0.0002604166667</v>
      </c>
      <c r="AC256" s="102"/>
      <c r="AD256" s="102"/>
      <c r="AE256" s="134"/>
      <c r="AF256" s="134"/>
      <c r="AG256" s="134"/>
      <c r="AH256" s="134"/>
      <c r="AI256" s="134"/>
      <c r="AJ256" s="134"/>
      <c r="AK256" s="134"/>
    </row>
    <row r="257">
      <c r="A257" s="101" t="s">
        <v>1658</v>
      </c>
      <c r="B257" s="102"/>
      <c r="C257" s="101">
        <v>8.0</v>
      </c>
      <c r="D257" s="101">
        <v>0.0</v>
      </c>
      <c r="E257" s="101">
        <v>15.0</v>
      </c>
      <c r="F257" s="101">
        <v>15.0</v>
      </c>
      <c r="G257" s="102">
        <f t="shared" si="197"/>
        <v>120</v>
      </c>
      <c r="H257" s="102">
        <f t="shared" si="198"/>
        <v>120</v>
      </c>
      <c r="I257" s="101">
        <v>10.0</v>
      </c>
      <c r="J257" s="102">
        <f t="shared" si="199"/>
        <v>0</v>
      </c>
      <c r="K257" s="136">
        <f>IFERROR(__xludf.DUMMYFUNCTION("TO_PERCENT(C257/I257-J257)"),0.8)</f>
        <v>0.8</v>
      </c>
      <c r="L257" s="101">
        <v>100.0</v>
      </c>
      <c r="M257" s="102">
        <f t="shared" si="200"/>
        <v>0</v>
      </c>
      <c r="N257" s="136">
        <f>IFERROR(__xludf.DUMMYFUNCTION("TO_PERCENT(C257/L257-M257)"),0.08)</f>
        <v>0.08</v>
      </c>
      <c r="O257" s="101">
        <v>2000.0</v>
      </c>
      <c r="P257" s="102">
        <f t="shared" si="201"/>
        <v>0</v>
      </c>
      <c r="Q257" s="136">
        <f>IFERROR(__xludf.DUMMYFUNCTION("TO_PERCENT($C257*$AJ$16/$AG$16/O257-P257)"),0.0016666666666666668)</f>
        <v>0.001666666667</v>
      </c>
      <c r="R257" s="136">
        <v>0.2</v>
      </c>
      <c r="S257" s="140">
        <f t="shared" si="202"/>
        <v>1.423666667</v>
      </c>
      <c r="T257" s="102"/>
      <c r="U257" s="136">
        <v>0.15</v>
      </c>
      <c r="V257" s="140">
        <f t="shared" si="203"/>
        <v>0.12</v>
      </c>
      <c r="W257" s="102"/>
      <c r="X257" s="136">
        <v>0.15</v>
      </c>
      <c r="Y257" s="140">
        <f t="shared" si="204"/>
        <v>0.012</v>
      </c>
      <c r="Z257" s="102"/>
      <c r="AA257" s="136">
        <v>0.25</v>
      </c>
      <c r="AB257" s="141">
        <f t="shared" si="205"/>
        <v>0.0004166666667</v>
      </c>
      <c r="AC257" s="102"/>
      <c r="AD257" s="102"/>
      <c r="AE257" s="134"/>
      <c r="AF257" s="134"/>
      <c r="AG257" s="134"/>
      <c r="AH257" s="134"/>
      <c r="AI257" s="134"/>
      <c r="AJ257" s="134"/>
      <c r="AK257" s="134"/>
    </row>
    <row r="258">
      <c r="A258" s="101" t="s">
        <v>1659</v>
      </c>
      <c r="B258" s="102"/>
      <c r="C258" s="101">
        <v>12.0</v>
      </c>
      <c r="D258" s="101">
        <v>0.0</v>
      </c>
      <c r="E258" s="101">
        <v>15.0</v>
      </c>
      <c r="F258" s="101">
        <v>15.0</v>
      </c>
      <c r="G258" s="102">
        <f t="shared" si="197"/>
        <v>180</v>
      </c>
      <c r="H258" s="102">
        <f t="shared" si="198"/>
        <v>180</v>
      </c>
      <c r="I258" s="101">
        <v>10.0</v>
      </c>
      <c r="J258" s="102">
        <f t="shared" si="199"/>
        <v>1</v>
      </c>
      <c r="K258" s="136">
        <f>IFERROR(__xludf.DUMMYFUNCTION("TO_PERCENT(C258/I258-J258)"),0.19999999999999996)</f>
        <v>0.2</v>
      </c>
      <c r="L258" s="101">
        <v>100.0</v>
      </c>
      <c r="M258" s="102">
        <f t="shared" si="200"/>
        <v>0</v>
      </c>
      <c r="N258" s="136">
        <f>IFERROR(__xludf.DUMMYFUNCTION("TO_PERCENT(C258/L258-M258)"),0.12)</f>
        <v>0.12</v>
      </c>
      <c r="O258" s="101">
        <v>2000.0</v>
      </c>
      <c r="P258" s="102">
        <f t="shared" si="201"/>
        <v>0</v>
      </c>
      <c r="Q258" s="136">
        <f>IFERROR(__xludf.DUMMYFUNCTION("TO_PERCENT($C258*$AJ$16/$AG$16/O258-P258)"),0.0025)</f>
        <v>0.0025</v>
      </c>
      <c r="R258" s="136">
        <v>0.2</v>
      </c>
      <c r="S258" s="140">
        <f t="shared" si="202"/>
        <v>2.1355</v>
      </c>
      <c r="T258" s="102"/>
      <c r="U258" s="136">
        <v>0.15</v>
      </c>
      <c r="V258" s="140">
        <f t="shared" si="203"/>
        <v>0.18</v>
      </c>
      <c r="W258" s="102"/>
      <c r="X258" s="136">
        <v>0.15</v>
      </c>
      <c r="Y258" s="140">
        <f t="shared" si="204"/>
        <v>0.018</v>
      </c>
      <c r="Z258" s="102"/>
      <c r="AA258" s="136">
        <v>0.25</v>
      </c>
      <c r="AB258" s="141">
        <f t="shared" si="205"/>
        <v>0.000625</v>
      </c>
      <c r="AC258" s="102"/>
      <c r="AD258" s="102"/>
      <c r="AE258" s="134"/>
      <c r="AF258" s="134"/>
      <c r="AG258" s="134"/>
      <c r="AH258" s="134"/>
      <c r="AI258" s="134"/>
      <c r="AJ258" s="134"/>
      <c r="AK258" s="134"/>
    </row>
    <row r="259">
      <c r="A259" s="101" t="s">
        <v>1660</v>
      </c>
      <c r="B259" s="102"/>
      <c r="C259" s="101">
        <v>17.0</v>
      </c>
      <c r="D259" s="101">
        <v>0.0</v>
      </c>
      <c r="E259" s="101">
        <v>15.0</v>
      </c>
      <c r="F259" s="101">
        <v>15.0</v>
      </c>
      <c r="G259" s="102">
        <f t="shared" si="197"/>
        <v>255</v>
      </c>
      <c r="H259" s="102">
        <f t="shared" si="198"/>
        <v>255</v>
      </c>
      <c r="I259" s="101">
        <v>10.0</v>
      </c>
      <c r="J259" s="102">
        <f t="shared" si="199"/>
        <v>1</v>
      </c>
      <c r="K259" s="136">
        <f>IFERROR(__xludf.DUMMYFUNCTION("TO_PERCENT(C259/I259-J259)"),0.7)</f>
        <v>0.7</v>
      </c>
      <c r="L259" s="101">
        <v>100.0</v>
      </c>
      <c r="M259" s="102">
        <f t="shared" si="200"/>
        <v>0</v>
      </c>
      <c r="N259" s="136">
        <f>IFERROR(__xludf.DUMMYFUNCTION("TO_PERCENT(C259/L259-M259)"),0.17)</f>
        <v>0.17</v>
      </c>
      <c r="O259" s="101">
        <v>2000.0</v>
      </c>
      <c r="P259" s="102">
        <f t="shared" si="201"/>
        <v>0</v>
      </c>
      <c r="Q259" s="136">
        <f>IFERROR(__xludf.DUMMYFUNCTION("TO_PERCENT($C259*$AJ$16/$AG$16/O259-P259)"),0.0035416666666666665)</f>
        <v>0.003541666667</v>
      </c>
      <c r="R259" s="136">
        <v>0.2</v>
      </c>
      <c r="S259" s="140">
        <f t="shared" si="202"/>
        <v>3.025291667</v>
      </c>
      <c r="T259" s="102"/>
      <c r="U259" s="136">
        <v>0.15</v>
      </c>
      <c r="V259" s="140">
        <f t="shared" si="203"/>
        <v>0.255</v>
      </c>
      <c r="W259" s="102"/>
      <c r="X259" s="136">
        <v>0.15</v>
      </c>
      <c r="Y259" s="140">
        <f t="shared" si="204"/>
        <v>0.0255</v>
      </c>
      <c r="Z259" s="102"/>
      <c r="AA259" s="136">
        <v>0.25</v>
      </c>
      <c r="AB259" s="141">
        <f t="shared" si="205"/>
        <v>0.0008854166667</v>
      </c>
      <c r="AC259" s="102"/>
      <c r="AD259" s="102"/>
      <c r="AE259" s="134"/>
      <c r="AF259" s="134"/>
      <c r="AG259" s="134"/>
      <c r="AH259" s="134"/>
      <c r="AI259" s="134"/>
      <c r="AJ259" s="134"/>
      <c r="AK259" s="134"/>
    </row>
    <row r="260">
      <c r="A260" s="101" t="s">
        <v>1661</v>
      </c>
      <c r="B260" s="102"/>
      <c r="C260" s="101">
        <v>23.0</v>
      </c>
      <c r="D260" s="101">
        <v>0.0</v>
      </c>
      <c r="E260" s="101">
        <v>15.0</v>
      </c>
      <c r="F260" s="101">
        <v>15.0</v>
      </c>
      <c r="G260" s="102">
        <f t="shared" si="197"/>
        <v>345</v>
      </c>
      <c r="H260" s="102">
        <f t="shared" si="198"/>
        <v>345</v>
      </c>
      <c r="I260" s="101">
        <v>10.0</v>
      </c>
      <c r="J260" s="102">
        <f t="shared" si="199"/>
        <v>2</v>
      </c>
      <c r="K260" s="136">
        <f>IFERROR(__xludf.DUMMYFUNCTION("TO_PERCENT(C260/I260-J260)"),0.2999999999999998)</f>
        <v>0.3</v>
      </c>
      <c r="L260" s="101">
        <v>100.0</v>
      </c>
      <c r="M260" s="102">
        <f t="shared" si="200"/>
        <v>0</v>
      </c>
      <c r="N260" s="136">
        <f>IFERROR(__xludf.DUMMYFUNCTION("TO_PERCENT(C260/L260-M260)"),0.23)</f>
        <v>0.23</v>
      </c>
      <c r="O260" s="101">
        <v>2000.0</v>
      </c>
      <c r="P260" s="102">
        <f t="shared" si="201"/>
        <v>0</v>
      </c>
      <c r="Q260" s="136">
        <f>IFERROR(__xludf.DUMMYFUNCTION("TO_PERCENT($C260*$AJ$16/$AG$16/O260-P260)"),0.004791666666666667)</f>
        <v>0.004791666667</v>
      </c>
      <c r="R260" s="136">
        <v>0.2</v>
      </c>
      <c r="S260" s="140">
        <f t="shared" si="202"/>
        <v>4.093041667</v>
      </c>
      <c r="T260" s="102"/>
      <c r="U260" s="136">
        <v>0.15</v>
      </c>
      <c r="V260" s="140">
        <f t="shared" si="203"/>
        <v>0.345</v>
      </c>
      <c r="W260" s="102"/>
      <c r="X260" s="136">
        <v>0.15</v>
      </c>
      <c r="Y260" s="140">
        <f t="shared" si="204"/>
        <v>0.0345</v>
      </c>
      <c r="Z260" s="102"/>
      <c r="AA260" s="136">
        <v>0.25</v>
      </c>
      <c r="AB260" s="141">
        <f t="shared" si="205"/>
        <v>0.001197916667</v>
      </c>
      <c r="AC260" s="102"/>
      <c r="AD260" s="102"/>
      <c r="AE260" s="134"/>
      <c r="AF260" s="134"/>
      <c r="AG260" s="134"/>
      <c r="AH260" s="134"/>
      <c r="AI260" s="134"/>
      <c r="AJ260" s="134"/>
      <c r="AK260" s="134"/>
    </row>
    <row r="261">
      <c r="A261" s="101" t="s">
        <v>1662</v>
      </c>
      <c r="B261" s="102"/>
      <c r="C261" s="101">
        <v>30.0</v>
      </c>
      <c r="D261" s="101">
        <v>0.0</v>
      </c>
      <c r="E261" s="101">
        <v>15.0</v>
      </c>
      <c r="F261" s="101">
        <v>15.0</v>
      </c>
      <c r="G261" s="102">
        <f t="shared" si="197"/>
        <v>450</v>
      </c>
      <c r="H261" s="102">
        <f t="shared" si="198"/>
        <v>450</v>
      </c>
      <c r="I261" s="101">
        <v>10.0</v>
      </c>
      <c r="J261" s="102">
        <f t="shared" si="199"/>
        <v>3</v>
      </c>
      <c r="K261" s="136">
        <f>IFERROR(__xludf.DUMMYFUNCTION("TO_PERCENT(C261/I261-J261)"),0.0)</f>
        <v>0</v>
      </c>
      <c r="L261" s="101">
        <v>100.0</v>
      </c>
      <c r="M261" s="102">
        <f t="shared" si="200"/>
        <v>0</v>
      </c>
      <c r="N261" s="136">
        <f>IFERROR(__xludf.DUMMYFUNCTION("TO_PERCENT(C261/L261-M261)"),0.3)</f>
        <v>0.3</v>
      </c>
      <c r="O261" s="101">
        <v>2000.0</v>
      </c>
      <c r="P261" s="102">
        <f t="shared" si="201"/>
        <v>0</v>
      </c>
      <c r="Q261" s="136">
        <f>IFERROR(__xludf.DUMMYFUNCTION("TO_PERCENT($C261*$AJ$16/$AG$16/O261-P261)"),0.00625)</f>
        <v>0.00625</v>
      </c>
      <c r="R261" s="136">
        <v>0.2</v>
      </c>
      <c r="S261" s="140">
        <f t="shared" si="202"/>
        <v>5.33875</v>
      </c>
      <c r="T261" s="102"/>
      <c r="U261" s="136">
        <v>0.15</v>
      </c>
      <c r="V261" s="140">
        <f t="shared" si="203"/>
        <v>0.45</v>
      </c>
      <c r="W261" s="102"/>
      <c r="X261" s="136">
        <v>0.15</v>
      </c>
      <c r="Y261" s="140">
        <f t="shared" si="204"/>
        <v>0.045</v>
      </c>
      <c r="Z261" s="102"/>
      <c r="AA261" s="136">
        <v>0.25</v>
      </c>
      <c r="AB261" s="141">
        <f t="shared" si="205"/>
        <v>0.0015625</v>
      </c>
      <c r="AC261" s="102"/>
      <c r="AD261" s="102"/>
      <c r="AE261" s="134"/>
      <c r="AF261" s="134"/>
      <c r="AG261" s="134"/>
      <c r="AH261" s="134"/>
      <c r="AI261" s="134"/>
      <c r="AJ261" s="134"/>
      <c r="AK261" s="134"/>
    </row>
    <row r="262">
      <c r="A262" s="101" t="s">
        <v>1663</v>
      </c>
      <c r="B262" s="102"/>
      <c r="C262" s="101">
        <v>38.0</v>
      </c>
      <c r="D262" s="101">
        <v>0.0</v>
      </c>
      <c r="E262" s="101">
        <v>15.0</v>
      </c>
      <c r="F262" s="101">
        <v>15.0</v>
      </c>
      <c r="G262" s="102">
        <f t="shared" si="197"/>
        <v>570</v>
      </c>
      <c r="H262" s="102">
        <f t="shared" si="198"/>
        <v>570</v>
      </c>
      <c r="I262" s="101">
        <v>10.0</v>
      </c>
      <c r="J262" s="102">
        <f t="shared" si="199"/>
        <v>3</v>
      </c>
      <c r="K262" s="136">
        <f>IFERROR(__xludf.DUMMYFUNCTION("TO_PERCENT(C262/I262-J262)"),0.7999999999999998)</f>
        <v>0.8</v>
      </c>
      <c r="L262" s="101">
        <v>100.0</v>
      </c>
      <c r="M262" s="102">
        <f t="shared" si="200"/>
        <v>0</v>
      </c>
      <c r="N262" s="136">
        <f>IFERROR(__xludf.DUMMYFUNCTION("TO_PERCENT(C262/L262-M262)"),0.38)</f>
        <v>0.38</v>
      </c>
      <c r="O262" s="101">
        <v>2000.0</v>
      </c>
      <c r="P262" s="102">
        <f t="shared" si="201"/>
        <v>0</v>
      </c>
      <c r="Q262" s="136">
        <f>IFERROR(__xludf.DUMMYFUNCTION("TO_PERCENT($C262*$AJ$16/$AG$16/O262-P262)"),0.007916666666666667)</f>
        <v>0.007916666667</v>
      </c>
      <c r="R262" s="136">
        <v>0.2</v>
      </c>
      <c r="S262" s="140">
        <f t="shared" si="202"/>
        <v>6.762416667</v>
      </c>
      <c r="T262" s="102"/>
      <c r="U262" s="136">
        <v>0.15</v>
      </c>
      <c r="V262" s="140">
        <f t="shared" si="203"/>
        <v>0.57</v>
      </c>
      <c r="W262" s="102"/>
      <c r="X262" s="136">
        <v>0.15</v>
      </c>
      <c r="Y262" s="140">
        <f t="shared" si="204"/>
        <v>0.057</v>
      </c>
      <c r="Z262" s="102"/>
      <c r="AA262" s="136">
        <v>0.25</v>
      </c>
      <c r="AB262" s="141">
        <f t="shared" si="205"/>
        <v>0.001979166667</v>
      </c>
      <c r="AC262" s="102"/>
      <c r="AD262" s="102"/>
      <c r="AE262" s="134"/>
      <c r="AF262" s="134"/>
      <c r="AG262" s="134"/>
      <c r="AH262" s="134"/>
      <c r="AI262" s="134"/>
      <c r="AJ262" s="134"/>
      <c r="AK262" s="134"/>
    </row>
    <row r="263">
      <c r="A263" s="101" t="s">
        <v>1664</v>
      </c>
      <c r="B263" s="102"/>
      <c r="C263" s="101">
        <v>48.0</v>
      </c>
      <c r="D263" s="101">
        <v>0.0</v>
      </c>
      <c r="E263" s="101">
        <v>15.0</v>
      </c>
      <c r="F263" s="101">
        <v>15.0</v>
      </c>
      <c r="G263" s="102">
        <f t="shared" si="197"/>
        <v>720</v>
      </c>
      <c r="H263" s="102">
        <f t="shared" si="198"/>
        <v>720</v>
      </c>
      <c r="I263" s="101">
        <v>10.0</v>
      </c>
      <c r="J263" s="102">
        <f t="shared" si="199"/>
        <v>4</v>
      </c>
      <c r="K263" s="136">
        <f>IFERROR(__xludf.DUMMYFUNCTION("TO_PERCENT(C263/I263-J263)"),0.7999999999999998)</f>
        <v>0.8</v>
      </c>
      <c r="L263" s="101">
        <v>100.0</v>
      </c>
      <c r="M263" s="102">
        <f t="shared" si="200"/>
        <v>0</v>
      </c>
      <c r="N263" s="136">
        <f>IFERROR(__xludf.DUMMYFUNCTION("TO_PERCENT(C263/L263-M263)"),0.48)</f>
        <v>0.48</v>
      </c>
      <c r="O263" s="101">
        <v>2000.0</v>
      </c>
      <c r="P263" s="102">
        <f t="shared" si="201"/>
        <v>0</v>
      </c>
      <c r="Q263" s="136">
        <f>IFERROR(__xludf.DUMMYFUNCTION("TO_PERCENT($C263*$AJ$16/$AG$16/O263-P263)"),0.01)</f>
        <v>0.01</v>
      </c>
      <c r="R263" s="136">
        <v>0.2</v>
      </c>
      <c r="S263" s="140">
        <f t="shared" si="202"/>
        <v>8.542</v>
      </c>
      <c r="T263" s="102"/>
      <c r="U263" s="136">
        <v>0.15</v>
      </c>
      <c r="V263" s="140">
        <f t="shared" si="203"/>
        <v>0.72</v>
      </c>
      <c r="W263" s="102"/>
      <c r="X263" s="136">
        <v>0.15</v>
      </c>
      <c r="Y263" s="140">
        <f t="shared" si="204"/>
        <v>0.072</v>
      </c>
      <c r="Z263" s="102"/>
      <c r="AA263" s="136">
        <v>0.25</v>
      </c>
      <c r="AB263" s="141">
        <f t="shared" si="205"/>
        <v>0.0025</v>
      </c>
      <c r="AC263" s="102"/>
      <c r="AD263" s="102"/>
      <c r="AE263" s="134"/>
      <c r="AF263" s="134"/>
      <c r="AG263" s="134"/>
      <c r="AH263" s="134"/>
      <c r="AI263" s="134"/>
      <c r="AJ263" s="134"/>
      <c r="AK263" s="134"/>
    </row>
    <row r="264">
      <c r="A264" s="101" t="s">
        <v>1665</v>
      </c>
      <c r="B264" s="102"/>
      <c r="C264" s="101">
        <v>61.0</v>
      </c>
      <c r="D264" s="101">
        <v>0.0</v>
      </c>
      <c r="E264" s="101">
        <v>15.0</v>
      </c>
      <c r="F264" s="101">
        <v>15.0</v>
      </c>
      <c r="G264" s="102">
        <f t="shared" si="197"/>
        <v>915</v>
      </c>
      <c r="H264" s="102">
        <f t="shared" si="198"/>
        <v>915</v>
      </c>
      <c r="I264" s="101">
        <v>10.0</v>
      </c>
      <c r="J264" s="102">
        <f t="shared" si="199"/>
        <v>6</v>
      </c>
      <c r="K264" s="136">
        <f>IFERROR(__xludf.DUMMYFUNCTION("TO_PERCENT(C264/I264-J264)"),0.09999999999999964)</f>
        <v>0.1</v>
      </c>
      <c r="L264" s="101">
        <v>100.0</v>
      </c>
      <c r="M264" s="102">
        <f t="shared" si="200"/>
        <v>0</v>
      </c>
      <c r="N264" s="136">
        <f>IFERROR(__xludf.DUMMYFUNCTION("TO_PERCENT(C264/L264-M264)"),0.61)</f>
        <v>0.61</v>
      </c>
      <c r="O264" s="101">
        <v>2000.0</v>
      </c>
      <c r="P264" s="102">
        <f t="shared" si="201"/>
        <v>0</v>
      </c>
      <c r="Q264" s="136">
        <f>IFERROR(__xludf.DUMMYFUNCTION("TO_PERCENT($C264*$AJ$16/$AG$16/O264-P264)"),0.012708333333333334)</f>
        <v>0.01270833333</v>
      </c>
      <c r="R264" s="136">
        <v>0.2</v>
      </c>
      <c r="S264" s="140">
        <f t="shared" si="202"/>
        <v>10.85545833</v>
      </c>
      <c r="T264" s="102"/>
      <c r="U264" s="136">
        <v>0.15</v>
      </c>
      <c r="V264" s="140">
        <f t="shared" si="203"/>
        <v>0.915</v>
      </c>
      <c r="W264" s="102"/>
      <c r="X264" s="136">
        <v>0.15</v>
      </c>
      <c r="Y264" s="140">
        <f t="shared" si="204"/>
        <v>0.0915</v>
      </c>
      <c r="Z264" s="102"/>
      <c r="AA264" s="136">
        <v>0.25</v>
      </c>
      <c r="AB264" s="141">
        <f t="shared" si="205"/>
        <v>0.003177083333</v>
      </c>
      <c r="AC264" s="102"/>
      <c r="AD264" s="102"/>
      <c r="AE264" s="134"/>
      <c r="AF264" s="134"/>
      <c r="AG264" s="134"/>
      <c r="AH264" s="134"/>
      <c r="AI264" s="134"/>
      <c r="AJ264" s="134"/>
      <c r="AK264" s="134"/>
    </row>
    <row r="265">
      <c r="A265" s="101" t="s">
        <v>1666</v>
      </c>
      <c r="B265" s="102"/>
      <c r="C265" s="101">
        <v>78.0</v>
      </c>
      <c r="D265" s="101">
        <v>0.0</v>
      </c>
      <c r="E265" s="101">
        <v>15.0</v>
      </c>
      <c r="F265" s="101">
        <v>15.0</v>
      </c>
      <c r="G265" s="102">
        <f t="shared" si="197"/>
        <v>1170</v>
      </c>
      <c r="H265" s="102">
        <f t="shared" si="198"/>
        <v>1170</v>
      </c>
      <c r="I265" s="101">
        <v>10.0</v>
      </c>
      <c r="J265" s="102">
        <f t="shared" si="199"/>
        <v>7</v>
      </c>
      <c r="K265" s="136">
        <f>IFERROR(__xludf.DUMMYFUNCTION("TO_PERCENT(C265/I265-J265)"),0.7999999999999998)</f>
        <v>0.8</v>
      </c>
      <c r="L265" s="101">
        <v>100.0</v>
      </c>
      <c r="M265" s="102">
        <f t="shared" si="200"/>
        <v>0</v>
      </c>
      <c r="N265" s="136">
        <f>IFERROR(__xludf.DUMMYFUNCTION("TO_PERCENT(C265/L265-M265)"),0.78)</f>
        <v>0.78</v>
      </c>
      <c r="O265" s="101">
        <v>2000.0</v>
      </c>
      <c r="P265" s="102">
        <f t="shared" si="201"/>
        <v>0</v>
      </c>
      <c r="Q265" s="136">
        <f>IFERROR(__xludf.DUMMYFUNCTION("TO_PERCENT($C265*$AJ$16/$AG$16/O265-P265)"),0.01625)</f>
        <v>0.01625</v>
      </c>
      <c r="R265" s="136">
        <v>0.2</v>
      </c>
      <c r="S265" s="140">
        <f t="shared" si="202"/>
        <v>13.88075</v>
      </c>
      <c r="T265" s="102"/>
      <c r="U265" s="136">
        <v>0.15</v>
      </c>
      <c r="V265" s="140">
        <f t="shared" si="203"/>
        <v>1.17</v>
      </c>
      <c r="W265" s="102"/>
      <c r="X265" s="136">
        <v>0.15</v>
      </c>
      <c r="Y265" s="140">
        <f t="shared" si="204"/>
        <v>0.117</v>
      </c>
      <c r="Z265" s="102"/>
      <c r="AA265" s="136">
        <v>0.25</v>
      </c>
      <c r="AB265" s="141">
        <f t="shared" si="205"/>
        <v>0.0040625</v>
      </c>
      <c r="AC265" s="102"/>
      <c r="AD265" s="102"/>
      <c r="AE265" s="134"/>
      <c r="AF265" s="134"/>
      <c r="AG265" s="134"/>
      <c r="AH265" s="134"/>
      <c r="AI265" s="134"/>
      <c r="AJ265" s="134"/>
      <c r="AK265" s="134"/>
    </row>
    <row r="266">
      <c r="A266" s="101" t="s">
        <v>1667</v>
      </c>
      <c r="B266" s="102"/>
      <c r="C266" s="101">
        <v>100.0</v>
      </c>
      <c r="D266" s="101">
        <v>0.0</v>
      </c>
      <c r="E266" s="101">
        <v>15.0</v>
      </c>
      <c r="F266" s="101">
        <v>15.0</v>
      </c>
      <c r="G266" s="102">
        <f t="shared" si="197"/>
        <v>1500</v>
      </c>
      <c r="H266" s="102">
        <f t="shared" si="198"/>
        <v>1500</v>
      </c>
      <c r="I266" s="101">
        <v>10.0</v>
      </c>
      <c r="J266" s="102">
        <f t="shared" si="199"/>
        <v>10</v>
      </c>
      <c r="K266" s="136">
        <f>IFERROR(__xludf.DUMMYFUNCTION("TO_PERCENT(C266/I266-J266)"),0.0)</f>
        <v>0</v>
      </c>
      <c r="L266" s="101">
        <v>100.0</v>
      </c>
      <c r="M266" s="102">
        <f t="shared" si="200"/>
        <v>1</v>
      </c>
      <c r="N266" s="136">
        <f>IFERROR(__xludf.DUMMYFUNCTION("TO_PERCENT(C266/L266-M266)"),0.0)</f>
        <v>0</v>
      </c>
      <c r="O266" s="101">
        <v>2000.0</v>
      </c>
      <c r="P266" s="102">
        <f t="shared" si="201"/>
        <v>0</v>
      </c>
      <c r="Q266" s="136">
        <f>IFERROR(__xludf.DUMMYFUNCTION("TO_PERCENT($C266*$AJ$16/$AG$16/O266-P266)"),0.020833333333333332)</f>
        <v>0.02083333333</v>
      </c>
      <c r="R266" s="136">
        <v>0.2</v>
      </c>
      <c r="S266" s="140">
        <f t="shared" si="202"/>
        <v>17.79583333</v>
      </c>
      <c r="T266" s="102"/>
      <c r="U266" s="136">
        <v>0.15</v>
      </c>
      <c r="V266" s="140">
        <f t="shared" si="203"/>
        <v>1.5</v>
      </c>
      <c r="W266" s="102"/>
      <c r="X266" s="136">
        <v>0.15</v>
      </c>
      <c r="Y266" s="140">
        <f t="shared" si="204"/>
        <v>0.15</v>
      </c>
      <c r="Z266" s="102"/>
      <c r="AA266" s="136">
        <v>0.25</v>
      </c>
      <c r="AB266" s="141">
        <f t="shared" si="205"/>
        <v>0.005208333333</v>
      </c>
      <c r="AC266" s="102"/>
      <c r="AD266" s="102"/>
      <c r="AE266" s="134"/>
      <c r="AF266" s="134"/>
      <c r="AG266" s="134"/>
      <c r="AH266" s="134"/>
      <c r="AI266" s="134"/>
      <c r="AJ266" s="134"/>
      <c r="AK266" s="134"/>
    </row>
    <row r="267">
      <c r="A267" s="143" t="s">
        <v>1669</v>
      </c>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5"/>
      <c r="AE267" s="134"/>
      <c r="AF267" s="134"/>
      <c r="AG267" s="134"/>
      <c r="AH267" s="134"/>
      <c r="AI267" s="134"/>
      <c r="AJ267" s="134"/>
      <c r="AK267" s="134"/>
    </row>
    <row r="268">
      <c r="A268" s="135" t="s">
        <v>1670</v>
      </c>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5"/>
      <c r="AE268" s="134"/>
      <c r="AF268" s="134"/>
      <c r="AG268" s="134"/>
      <c r="AH268" s="134"/>
      <c r="AI268" s="134"/>
      <c r="AJ268" s="134"/>
      <c r="AK268" s="134"/>
    </row>
    <row r="269">
      <c r="A269" s="101" t="s">
        <v>1671</v>
      </c>
      <c r="B269" s="102"/>
      <c r="C269" s="101">
        <v>30.0</v>
      </c>
      <c r="D269" s="101">
        <v>0.0</v>
      </c>
      <c r="E269" s="101">
        <v>5.0</v>
      </c>
      <c r="F269" s="101">
        <v>5.0</v>
      </c>
      <c r="G269" s="102">
        <f t="shared" ref="G269:G273" si="206">E269*C269</f>
        <v>150</v>
      </c>
      <c r="H269" s="102">
        <f t="shared" ref="H269:H273" si="207">F269*C269</f>
        <v>150</v>
      </c>
      <c r="I269" s="101">
        <v>10.0</v>
      </c>
      <c r="J269" s="102">
        <f t="shared" ref="J269:J273" si="208">ROUNDDOWN(C269/I269,0)</f>
        <v>3</v>
      </c>
      <c r="K269" s="136">
        <f>IFERROR(__xludf.DUMMYFUNCTION("TO_PERCENT(C269/I269-J269)"),0.0)</f>
        <v>0</v>
      </c>
      <c r="L269" s="101">
        <v>40.0</v>
      </c>
      <c r="M269" s="102">
        <f t="shared" ref="M269:M273" si="209">ROUNDDOWN(C269/L269,0)</f>
        <v>0</v>
      </c>
      <c r="N269" s="136">
        <f>IFERROR(__xludf.DUMMYFUNCTION("TO_PERCENT(C269/L269-M269)"),0.75)</f>
        <v>0.75</v>
      </c>
      <c r="O269" s="101">
        <v>0.0</v>
      </c>
      <c r="P269" s="101">
        <v>0.0</v>
      </c>
      <c r="Q269" s="136">
        <v>0.0</v>
      </c>
      <c r="R269" s="102"/>
      <c r="S269" s="140"/>
      <c r="T269" s="102"/>
      <c r="U269" s="102"/>
      <c r="V269" s="140"/>
      <c r="W269" s="102"/>
      <c r="X269" s="102"/>
      <c r="Y269" s="140"/>
      <c r="Z269" s="102"/>
      <c r="AA269" s="102"/>
      <c r="AB269" s="141"/>
      <c r="AC269" s="102"/>
      <c r="AD269" s="102"/>
      <c r="AE269" s="134"/>
      <c r="AF269" s="134"/>
      <c r="AG269" s="134"/>
      <c r="AH269" s="134"/>
      <c r="AI269" s="134"/>
      <c r="AJ269" s="134"/>
      <c r="AK269" s="134"/>
    </row>
    <row r="270">
      <c r="A270" s="101" t="s">
        <v>1672</v>
      </c>
      <c r="B270" s="102"/>
      <c r="C270" s="101">
        <v>90.0</v>
      </c>
      <c r="D270" s="101">
        <v>0.0</v>
      </c>
      <c r="E270" s="101">
        <v>7.0</v>
      </c>
      <c r="F270" s="101">
        <v>7.0</v>
      </c>
      <c r="G270" s="102">
        <f t="shared" si="206"/>
        <v>630</v>
      </c>
      <c r="H270" s="102">
        <f t="shared" si="207"/>
        <v>630</v>
      </c>
      <c r="I270" s="101">
        <v>5.0</v>
      </c>
      <c r="J270" s="102">
        <f t="shared" si="208"/>
        <v>18</v>
      </c>
      <c r="K270" s="136">
        <f>IFERROR(__xludf.DUMMYFUNCTION("TO_PERCENT(C270/I270-J270)"),0.0)</f>
        <v>0</v>
      </c>
      <c r="L270" s="101">
        <v>40.0</v>
      </c>
      <c r="M270" s="102">
        <f t="shared" si="209"/>
        <v>2</v>
      </c>
      <c r="N270" s="136">
        <f>IFERROR(__xludf.DUMMYFUNCTION("TO_PERCENT(C270/L270-M270)"),0.25)</f>
        <v>0.25</v>
      </c>
      <c r="O270" s="101">
        <v>0.0</v>
      </c>
      <c r="P270" s="101">
        <v>0.0</v>
      </c>
      <c r="Q270" s="136">
        <v>0.25</v>
      </c>
      <c r="R270" s="102"/>
      <c r="S270" s="140"/>
      <c r="T270" s="102"/>
      <c r="U270" s="102"/>
      <c r="V270" s="140"/>
      <c r="W270" s="102"/>
      <c r="X270" s="102"/>
      <c r="Y270" s="140"/>
      <c r="Z270" s="102"/>
      <c r="AA270" s="102"/>
      <c r="AB270" s="141"/>
      <c r="AC270" s="102"/>
      <c r="AD270" s="102"/>
      <c r="AE270" s="134"/>
      <c r="AF270" s="134"/>
      <c r="AG270" s="134"/>
      <c r="AH270" s="134"/>
      <c r="AI270" s="134"/>
      <c r="AJ270" s="134"/>
      <c r="AK270" s="134"/>
    </row>
    <row r="271">
      <c r="A271" s="101" t="s">
        <v>1673</v>
      </c>
      <c r="B271" s="102"/>
      <c r="C271" s="101">
        <v>150.0</v>
      </c>
      <c r="D271" s="101">
        <v>0.0</v>
      </c>
      <c r="E271" s="101">
        <v>7.0</v>
      </c>
      <c r="F271" s="101">
        <v>7.0</v>
      </c>
      <c r="G271" s="102">
        <f t="shared" si="206"/>
        <v>1050</v>
      </c>
      <c r="H271" s="102">
        <f t="shared" si="207"/>
        <v>1050</v>
      </c>
      <c r="I271" s="101">
        <v>5.0</v>
      </c>
      <c r="J271" s="102">
        <f t="shared" si="208"/>
        <v>30</v>
      </c>
      <c r="K271" s="136">
        <f>IFERROR(__xludf.DUMMYFUNCTION("TO_PERCENT(C271/I271-J271)"),0.0)</f>
        <v>0</v>
      </c>
      <c r="L271" s="101">
        <v>40.0</v>
      </c>
      <c r="M271" s="102">
        <f t="shared" si="209"/>
        <v>3</v>
      </c>
      <c r="N271" s="136">
        <f>IFERROR(__xludf.DUMMYFUNCTION("TO_PERCENT(C271/L271-M271)"),0.75)</f>
        <v>0.75</v>
      </c>
      <c r="O271" s="101">
        <v>0.0</v>
      </c>
      <c r="P271" s="104">
        <v>0.0</v>
      </c>
      <c r="Q271" s="136">
        <v>0.333333333333333</v>
      </c>
      <c r="R271" s="102"/>
      <c r="S271" s="140"/>
      <c r="T271" s="102"/>
      <c r="U271" s="102"/>
      <c r="V271" s="140"/>
      <c r="W271" s="102"/>
      <c r="X271" s="102"/>
      <c r="Y271" s="140"/>
      <c r="Z271" s="102"/>
      <c r="AA271" s="102"/>
      <c r="AB271" s="141"/>
      <c r="AC271" s="102"/>
      <c r="AD271" s="102"/>
      <c r="AE271" s="134"/>
      <c r="AF271" s="134"/>
      <c r="AG271" s="134"/>
      <c r="AH271" s="134"/>
      <c r="AI271" s="134"/>
      <c r="AJ271" s="134"/>
      <c r="AK271" s="134"/>
    </row>
    <row r="272">
      <c r="A272" s="101" t="s">
        <v>1674</v>
      </c>
      <c r="B272" s="102"/>
      <c r="C272" s="101">
        <v>210.0</v>
      </c>
      <c r="D272" s="101">
        <v>0.0</v>
      </c>
      <c r="E272" s="101">
        <v>7.0</v>
      </c>
      <c r="F272" s="101">
        <v>7.0</v>
      </c>
      <c r="G272" s="102">
        <f t="shared" si="206"/>
        <v>1470</v>
      </c>
      <c r="H272" s="102">
        <f t="shared" si="207"/>
        <v>1470</v>
      </c>
      <c r="I272" s="101">
        <v>5.0</v>
      </c>
      <c r="J272" s="102">
        <f t="shared" si="208"/>
        <v>42</v>
      </c>
      <c r="K272" s="136">
        <f>IFERROR(__xludf.DUMMYFUNCTION("TO_PERCENT(C272/I272-J272)"),0.0)</f>
        <v>0</v>
      </c>
      <c r="L272" s="101">
        <v>40.0</v>
      </c>
      <c r="M272" s="102">
        <f t="shared" si="209"/>
        <v>5</v>
      </c>
      <c r="N272" s="136">
        <f>IFERROR(__xludf.DUMMYFUNCTION("TO_PERCENT(C272/L272-M272)"),0.25)</f>
        <v>0.25</v>
      </c>
      <c r="O272" s="101">
        <v>0.0</v>
      </c>
      <c r="P272" s="104">
        <v>0.0</v>
      </c>
      <c r="Q272" s="136">
        <v>0.5</v>
      </c>
      <c r="R272" s="102"/>
      <c r="S272" s="140"/>
      <c r="T272" s="102"/>
      <c r="U272" s="102"/>
      <c r="V272" s="140"/>
      <c r="W272" s="102"/>
      <c r="X272" s="102"/>
      <c r="Y272" s="140"/>
      <c r="Z272" s="102"/>
      <c r="AA272" s="102"/>
      <c r="AB272" s="141"/>
      <c r="AC272" s="102"/>
      <c r="AD272" s="102"/>
      <c r="AE272" s="134"/>
      <c r="AF272" s="134"/>
      <c r="AG272" s="134"/>
      <c r="AH272" s="134"/>
      <c r="AI272" s="134"/>
      <c r="AJ272" s="134"/>
      <c r="AK272" s="134"/>
    </row>
    <row r="273">
      <c r="A273" s="101" t="s">
        <v>1675</v>
      </c>
      <c r="B273" s="102"/>
      <c r="C273" s="101">
        <v>270.0</v>
      </c>
      <c r="D273" s="101">
        <v>0.0</v>
      </c>
      <c r="E273" s="101">
        <v>7.0</v>
      </c>
      <c r="F273" s="101">
        <v>7.0</v>
      </c>
      <c r="G273" s="102">
        <f t="shared" si="206"/>
        <v>1890</v>
      </c>
      <c r="H273" s="102">
        <f t="shared" si="207"/>
        <v>1890</v>
      </c>
      <c r="I273" s="101">
        <v>5.0</v>
      </c>
      <c r="J273" s="102">
        <f t="shared" si="208"/>
        <v>54</v>
      </c>
      <c r="K273" s="136">
        <f>IFERROR(__xludf.DUMMYFUNCTION("TO_PERCENT(C273/I273-J273)"),0.0)</f>
        <v>0</v>
      </c>
      <c r="L273" s="101">
        <v>40.0</v>
      </c>
      <c r="M273" s="102">
        <f t="shared" si="209"/>
        <v>6</v>
      </c>
      <c r="N273" s="136">
        <f>IFERROR(__xludf.DUMMYFUNCTION("TO_PERCENT(C273/L273-M273)"),0.75)</f>
        <v>0.75</v>
      </c>
      <c r="O273" s="101">
        <v>0.0</v>
      </c>
      <c r="P273" s="101">
        <v>1.0</v>
      </c>
      <c r="Q273" s="136">
        <v>0.0</v>
      </c>
      <c r="R273" s="102"/>
      <c r="S273" s="140"/>
      <c r="T273" s="102"/>
      <c r="U273" s="102"/>
      <c r="V273" s="140"/>
      <c r="W273" s="102"/>
      <c r="X273" s="102"/>
      <c r="Y273" s="140"/>
      <c r="Z273" s="102"/>
      <c r="AA273" s="102"/>
      <c r="AB273" s="141"/>
      <c r="AC273" s="102"/>
      <c r="AD273" s="102"/>
      <c r="AE273" s="134"/>
      <c r="AF273" s="134"/>
      <c r="AG273" s="134"/>
      <c r="AH273" s="134"/>
      <c r="AI273" s="134"/>
      <c r="AJ273" s="134"/>
      <c r="AK273" s="134"/>
    </row>
    <row r="274">
      <c r="A274" s="135" t="s">
        <v>1676</v>
      </c>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5"/>
      <c r="AE274" s="134"/>
      <c r="AF274" s="134"/>
      <c r="AG274" s="134"/>
      <c r="AH274" s="134"/>
      <c r="AI274" s="134"/>
      <c r="AJ274" s="134"/>
      <c r="AK274" s="134"/>
    </row>
    <row r="275">
      <c r="A275" s="101" t="s">
        <v>1671</v>
      </c>
      <c r="B275" s="102"/>
      <c r="C275" s="101">
        <v>70.0</v>
      </c>
      <c r="D275" s="101">
        <v>0.0</v>
      </c>
      <c r="E275" s="101">
        <v>5.0</v>
      </c>
      <c r="F275" s="101">
        <v>5.0</v>
      </c>
      <c r="G275" s="102">
        <f t="shared" ref="G275:G279" si="210">E275*C275</f>
        <v>350</v>
      </c>
      <c r="H275" s="102">
        <f t="shared" ref="H275:H279" si="211">F275*C275</f>
        <v>350</v>
      </c>
      <c r="I275" s="101">
        <v>10.0</v>
      </c>
      <c r="J275" s="102">
        <f t="shared" ref="J275:J279" si="212">ROUNDDOWN(C275/I275,0)</f>
        <v>7</v>
      </c>
      <c r="K275" s="136">
        <f>IFERROR(__xludf.DUMMYFUNCTION("TO_PERCENT(C275/I275-J275)"),0.0)</f>
        <v>0</v>
      </c>
      <c r="L275" s="101">
        <v>40.0</v>
      </c>
      <c r="M275" s="102">
        <f t="shared" ref="M275:M279" si="213">ROUNDDOWN(C275/L275,0)</f>
        <v>1</v>
      </c>
      <c r="N275" s="136">
        <f>IFERROR(__xludf.DUMMYFUNCTION("TO_PERCENT(C275/L275-M275)"),0.75)</f>
        <v>0.75</v>
      </c>
      <c r="O275" s="101">
        <v>0.0</v>
      </c>
      <c r="P275" s="101">
        <v>0.0</v>
      </c>
      <c r="Q275" s="136">
        <v>0.0</v>
      </c>
      <c r="R275" s="102"/>
      <c r="S275" s="140"/>
      <c r="T275" s="102"/>
      <c r="U275" s="102"/>
      <c r="V275" s="140"/>
      <c r="W275" s="102"/>
      <c r="X275" s="102"/>
      <c r="Y275" s="140"/>
      <c r="Z275" s="102"/>
      <c r="AA275" s="102"/>
      <c r="AB275" s="141"/>
      <c r="AC275" s="102"/>
      <c r="AD275" s="102"/>
      <c r="AE275" s="134"/>
      <c r="AF275" s="134"/>
      <c r="AG275" s="134"/>
      <c r="AH275" s="134"/>
      <c r="AI275" s="134"/>
      <c r="AJ275" s="134"/>
      <c r="AK275" s="134"/>
    </row>
    <row r="276">
      <c r="A276" s="101" t="s">
        <v>1672</v>
      </c>
      <c r="B276" s="102"/>
      <c r="C276" s="101">
        <v>210.0</v>
      </c>
      <c r="D276" s="101">
        <v>0.0</v>
      </c>
      <c r="E276" s="101">
        <v>7.0</v>
      </c>
      <c r="F276" s="101">
        <v>7.0</v>
      </c>
      <c r="G276" s="102">
        <f t="shared" si="210"/>
        <v>1470</v>
      </c>
      <c r="H276" s="102">
        <f t="shared" si="211"/>
        <v>1470</v>
      </c>
      <c r="I276" s="101">
        <v>5.0</v>
      </c>
      <c r="J276" s="102">
        <f t="shared" si="212"/>
        <v>42</v>
      </c>
      <c r="K276" s="136">
        <f>IFERROR(__xludf.DUMMYFUNCTION("TO_PERCENT(C276/I276-J276)"),0.0)</f>
        <v>0</v>
      </c>
      <c r="L276" s="101">
        <v>40.0</v>
      </c>
      <c r="M276" s="102">
        <f t="shared" si="213"/>
        <v>5</v>
      </c>
      <c r="N276" s="136">
        <f>IFERROR(__xludf.DUMMYFUNCTION("TO_PERCENT(C276/L276-M276)"),0.25)</f>
        <v>0.25</v>
      </c>
      <c r="O276" s="101">
        <v>0.0</v>
      </c>
      <c r="P276" s="101">
        <v>0.0</v>
      </c>
      <c r="Q276" s="136">
        <v>0.25</v>
      </c>
      <c r="R276" s="102"/>
      <c r="S276" s="140"/>
      <c r="T276" s="102"/>
      <c r="U276" s="102"/>
      <c r="V276" s="140"/>
      <c r="W276" s="102"/>
      <c r="X276" s="102"/>
      <c r="Y276" s="140"/>
      <c r="Z276" s="102"/>
      <c r="AA276" s="102"/>
      <c r="AB276" s="141"/>
      <c r="AC276" s="102"/>
      <c r="AD276" s="102"/>
      <c r="AE276" s="134"/>
      <c r="AF276" s="134"/>
      <c r="AG276" s="134"/>
      <c r="AH276" s="134"/>
      <c r="AI276" s="134"/>
      <c r="AJ276" s="134"/>
      <c r="AK276" s="134"/>
    </row>
    <row r="277">
      <c r="A277" s="101" t="s">
        <v>1673</v>
      </c>
      <c r="B277" s="102"/>
      <c r="C277" s="101">
        <v>270.0</v>
      </c>
      <c r="D277" s="101">
        <v>0.0</v>
      </c>
      <c r="E277" s="101">
        <v>7.0</v>
      </c>
      <c r="F277" s="101">
        <v>7.0</v>
      </c>
      <c r="G277" s="102">
        <f t="shared" si="210"/>
        <v>1890</v>
      </c>
      <c r="H277" s="102">
        <f t="shared" si="211"/>
        <v>1890</v>
      </c>
      <c r="I277" s="101">
        <v>5.0</v>
      </c>
      <c r="J277" s="102">
        <f t="shared" si="212"/>
        <v>54</v>
      </c>
      <c r="K277" s="136">
        <f>IFERROR(__xludf.DUMMYFUNCTION("TO_PERCENT(C277/I277-J277)"),0.0)</f>
        <v>0</v>
      </c>
      <c r="L277" s="101">
        <v>40.0</v>
      </c>
      <c r="M277" s="102">
        <f t="shared" si="213"/>
        <v>6</v>
      </c>
      <c r="N277" s="136">
        <f>IFERROR(__xludf.DUMMYFUNCTION("TO_PERCENT(C277/L277-M277)"),0.75)</f>
        <v>0.75</v>
      </c>
      <c r="O277" s="101">
        <v>0.0</v>
      </c>
      <c r="P277" s="104">
        <v>0.0</v>
      </c>
      <c r="Q277" s="136">
        <v>0.333333333333333</v>
      </c>
      <c r="R277" s="102"/>
      <c r="S277" s="140"/>
      <c r="T277" s="102"/>
      <c r="U277" s="102"/>
      <c r="V277" s="140"/>
      <c r="W277" s="102"/>
      <c r="X277" s="102"/>
      <c r="Y277" s="140"/>
      <c r="Z277" s="102"/>
      <c r="AA277" s="102"/>
      <c r="AB277" s="141"/>
      <c r="AC277" s="102"/>
      <c r="AD277" s="102"/>
      <c r="AE277" s="134"/>
      <c r="AF277" s="134"/>
      <c r="AG277" s="134"/>
      <c r="AH277" s="134"/>
      <c r="AI277" s="134"/>
      <c r="AJ277" s="134"/>
      <c r="AK277" s="134"/>
    </row>
    <row r="278">
      <c r="A278" s="101" t="s">
        <v>1674</v>
      </c>
      <c r="B278" s="102"/>
      <c r="C278" s="101">
        <v>330.0</v>
      </c>
      <c r="D278" s="101">
        <v>0.0</v>
      </c>
      <c r="E278" s="101">
        <v>7.0</v>
      </c>
      <c r="F278" s="101">
        <v>7.0</v>
      </c>
      <c r="G278" s="102">
        <f t="shared" si="210"/>
        <v>2310</v>
      </c>
      <c r="H278" s="102">
        <f t="shared" si="211"/>
        <v>2310</v>
      </c>
      <c r="I278" s="101">
        <v>5.0</v>
      </c>
      <c r="J278" s="102">
        <f t="shared" si="212"/>
        <v>66</v>
      </c>
      <c r="K278" s="136">
        <f>IFERROR(__xludf.DUMMYFUNCTION("TO_PERCENT(C278/I278-J278)"),0.0)</f>
        <v>0</v>
      </c>
      <c r="L278" s="101">
        <v>40.0</v>
      </c>
      <c r="M278" s="102">
        <f t="shared" si="213"/>
        <v>8</v>
      </c>
      <c r="N278" s="136">
        <f>IFERROR(__xludf.DUMMYFUNCTION("TO_PERCENT(C278/L278-M278)"),0.25)</f>
        <v>0.25</v>
      </c>
      <c r="O278" s="101">
        <v>0.0</v>
      </c>
      <c r="P278" s="104">
        <v>0.0</v>
      </c>
      <c r="Q278" s="136">
        <v>0.5</v>
      </c>
      <c r="R278" s="102"/>
      <c r="S278" s="140"/>
      <c r="T278" s="102"/>
      <c r="U278" s="102"/>
      <c r="V278" s="140"/>
      <c r="W278" s="102"/>
      <c r="X278" s="102"/>
      <c r="Y278" s="140"/>
      <c r="Z278" s="102"/>
      <c r="AA278" s="102"/>
      <c r="AB278" s="141"/>
      <c r="AC278" s="102"/>
      <c r="AD278" s="102"/>
      <c r="AE278" s="134"/>
      <c r="AF278" s="134"/>
      <c r="AG278" s="134"/>
      <c r="AH278" s="134"/>
      <c r="AI278" s="134"/>
      <c r="AJ278" s="134"/>
      <c r="AK278" s="134"/>
    </row>
    <row r="279">
      <c r="A279" s="101" t="s">
        <v>1675</v>
      </c>
      <c r="B279" s="102"/>
      <c r="C279" s="101">
        <v>390.0</v>
      </c>
      <c r="D279" s="101">
        <v>0.0</v>
      </c>
      <c r="E279" s="101">
        <v>7.0</v>
      </c>
      <c r="F279" s="101">
        <v>7.0</v>
      </c>
      <c r="G279" s="102">
        <f t="shared" si="210"/>
        <v>2730</v>
      </c>
      <c r="H279" s="102">
        <f t="shared" si="211"/>
        <v>2730</v>
      </c>
      <c r="I279" s="101">
        <v>5.0</v>
      </c>
      <c r="J279" s="102">
        <f t="shared" si="212"/>
        <v>78</v>
      </c>
      <c r="K279" s="136">
        <f>IFERROR(__xludf.DUMMYFUNCTION("TO_PERCENT(C279/I279-J279)"),0.0)</f>
        <v>0</v>
      </c>
      <c r="L279" s="101">
        <v>40.0</v>
      </c>
      <c r="M279" s="102">
        <f t="shared" si="213"/>
        <v>9</v>
      </c>
      <c r="N279" s="136">
        <f>IFERROR(__xludf.DUMMYFUNCTION("TO_PERCENT(C279/L279-M279)"),0.75)</f>
        <v>0.75</v>
      </c>
      <c r="O279" s="101">
        <v>0.0</v>
      </c>
      <c r="P279" s="101">
        <v>1.0</v>
      </c>
      <c r="Q279" s="136">
        <v>0.0</v>
      </c>
      <c r="R279" s="102"/>
      <c r="S279" s="140"/>
      <c r="T279" s="102"/>
      <c r="U279" s="102"/>
      <c r="V279" s="140"/>
      <c r="W279" s="102"/>
      <c r="X279" s="102"/>
      <c r="Y279" s="140"/>
      <c r="Z279" s="102"/>
      <c r="AA279" s="102"/>
      <c r="AB279" s="141"/>
      <c r="AC279" s="102"/>
      <c r="AD279" s="102"/>
      <c r="AE279" s="134"/>
      <c r="AF279" s="134"/>
      <c r="AG279" s="134"/>
      <c r="AH279" s="134"/>
      <c r="AI279" s="134"/>
      <c r="AJ279" s="134"/>
      <c r="AK279" s="134"/>
    </row>
    <row r="280">
      <c r="A280" s="135" t="s">
        <v>1677</v>
      </c>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5"/>
      <c r="AE280" s="134"/>
      <c r="AF280" s="134"/>
      <c r="AG280" s="134"/>
      <c r="AH280" s="134"/>
      <c r="AI280" s="134"/>
      <c r="AJ280" s="134"/>
      <c r="AK280" s="134"/>
    </row>
    <row r="281">
      <c r="A281" s="101" t="s">
        <v>1671</v>
      </c>
      <c r="B281" s="102"/>
      <c r="C281" s="101">
        <v>110.0</v>
      </c>
      <c r="D281" s="101">
        <v>0.0</v>
      </c>
      <c r="E281" s="101">
        <v>5.0</v>
      </c>
      <c r="F281" s="101">
        <v>5.0</v>
      </c>
      <c r="G281" s="102">
        <f t="shared" ref="G281:G285" si="214">E281*C281</f>
        <v>550</v>
      </c>
      <c r="H281" s="102">
        <f t="shared" ref="H281:H285" si="215">F281*C281</f>
        <v>550</v>
      </c>
      <c r="I281" s="101">
        <v>10.0</v>
      </c>
      <c r="J281" s="102">
        <f t="shared" ref="J281:J285" si="216">ROUNDDOWN(C281/I281,0)</f>
        <v>11</v>
      </c>
      <c r="K281" s="136">
        <f>IFERROR(__xludf.DUMMYFUNCTION("TO_PERCENT(C281/I281-J281)"),0.0)</f>
        <v>0</v>
      </c>
      <c r="L281" s="101">
        <v>40.0</v>
      </c>
      <c r="M281" s="102">
        <f t="shared" ref="M281:M285" si="217">ROUNDDOWN(C281/L281,0)</f>
        <v>2</v>
      </c>
      <c r="N281" s="136">
        <f>IFERROR(__xludf.DUMMYFUNCTION("TO_PERCENT(C281/L281-M281)"),0.75)</f>
        <v>0.75</v>
      </c>
      <c r="O281" s="101">
        <v>0.0</v>
      </c>
      <c r="P281" s="101">
        <v>0.0</v>
      </c>
      <c r="Q281" s="136">
        <v>0.0</v>
      </c>
      <c r="R281" s="102"/>
      <c r="S281" s="140"/>
      <c r="T281" s="102"/>
      <c r="U281" s="102"/>
      <c r="V281" s="140"/>
      <c r="W281" s="102"/>
      <c r="X281" s="102"/>
      <c r="Y281" s="140"/>
      <c r="Z281" s="102"/>
      <c r="AA281" s="102"/>
      <c r="AB281" s="141"/>
      <c r="AC281" s="102"/>
      <c r="AD281" s="102"/>
      <c r="AE281" s="134"/>
      <c r="AF281" s="134"/>
      <c r="AG281" s="134"/>
      <c r="AH281" s="134"/>
      <c r="AI281" s="134"/>
      <c r="AJ281" s="134"/>
      <c r="AK281" s="134"/>
    </row>
    <row r="282">
      <c r="A282" s="101" t="s">
        <v>1672</v>
      </c>
      <c r="B282" s="102"/>
      <c r="C282" s="101">
        <v>330.0</v>
      </c>
      <c r="D282" s="101">
        <v>0.0</v>
      </c>
      <c r="E282" s="101">
        <v>7.0</v>
      </c>
      <c r="F282" s="101">
        <v>7.0</v>
      </c>
      <c r="G282" s="102">
        <f t="shared" si="214"/>
        <v>2310</v>
      </c>
      <c r="H282" s="102">
        <f t="shared" si="215"/>
        <v>2310</v>
      </c>
      <c r="I282" s="101">
        <v>5.0</v>
      </c>
      <c r="J282" s="102">
        <f t="shared" si="216"/>
        <v>66</v>
      </c>
      <c r="K282" s="136">
        <f>IFERROR(__xludf.DUMMYFUNCTION("TO_PERCENT(C282/I282-J282)"),0.0)</f>
        <v>0</v>
      </c>
      <c r="L282" s="101">
        <v>40.0</v>
      </c>
      <c r="M282" s="102">
        <f t="shared" si="217"/>
        <v>8</v>
      </c>
      <c r="N282" s="136">
        <f>IFERROR(__xludf.DUMMYFUNCTION("TO_PERCENT(C282/L282-M282)"),0.25)</f>
        <v>0.25</v>
      </c>
      <c r="O282" s="101">
        <v>0.0</v>
      </c>
      <c r="P282" s="101">
        <v>0.0</v>
      </c>
      <c r="Q282" s="136">
        <v>0.25</v>
      </c>
      <c r="R282" s="102"/>
      <c r="S282" s="140"/>
      <c r="T282" s="102"/>
      <c r="U282" s="102"/>
      <c r="V282" s="140"/>
      <c r="W282" s="102"/>
      <c r="X282" s="102"/>
      <c r="Y282" s="140"/>
      <c r="Z282" s="102"/>
      <c r="AA282" s="102"/>
      <c r="AB282" s="141"/>
      <c r="AC282" s="102"/>
      <c r="AD282" s="102"/>
      <c r="AE282" s="134"/>
      <c r="AF282" s="134"/>
      <c r="AG282" s="134"/>
      <c r="AH282" s="134"/>
      <c r="AI282" s="134"/>
      <c r="AJ282" s="134"/>
      <c r="AK282" s="134"/>
    </row>
    <row r="283">
      <c r="A283" s="101" t="s">
        <v>1673</v>
      </c>
      <c r="B283" s="102"/>
      <c r="C283" s="101">
        <v>390.0</v>
      </c>
      <c r="D283" s="101">
        <v>0.0</v>
      </c>
      <c r="E283" s="101">
        <v>7.0</v>
      </c>
      <c r="F283" s="101">
        <v>7.0</v>
      </c>
      <c r="G283" s="102">
        <f t="shared" si="214"/>
        <v>2730</v>
      </c>
      <c r="H283" s="102">
        <f t="shared" si="215"/>
        <v>2730</v>
      </c>
      <c r="I283" s="101">
        <v>5.0</v>
      </c>
      <c r="J283" s="102">
        <f t="shared" si="216"/>
        <v>78</v>
      </c>
      <c r="K283" s="136">
        <f>IFERROR(__xludf.DUMMYFUNCTION("TO_PERCENT(C283/I283-J283)"),0.0)</f>
        <v>0</v>
      </c>
      <c r="L283" s="101">
        <v>40.0</v>
      </c>
      <c r="M283" s="102">
        <f t="shared" si="217"/>
        <v>9</v>
      </c>
      <c r="N283" s="136">
        <f>IFERROR(__xludf.DUMMYFUNCTION("TO_PERCENT(C283/L283-M283)"),0.75)</f>
        <v>0.75</v>
      </c>
      <c r="O283" s="101">
        <v>0.0</v>
      </c>
      <c r="P283" s="104">
        <v>0.0</v>
      </c>
      <c r="Q283" s="136">
        <v>0.333333333333333</v>
      </c>
      <c r="R283" s="102"/>
      <c r="S283" s="140"/>
      <c r="T283" s="102"/>
      <c r="U283" s="102"/>
      <c r="V283" s="140"/>
      <c r="W283" s="102"/>
      <c r="X283" s="102"/>
      <c r="Y283" s="140"/>
      <c r="Z283" s="102"/>
      <c r="AA283" s="102"/>
      <c r="AB283" s="141"/>
      <c r="AC283" s="102"/>
      <c r="AD283" s="102"/>
      <c r="AE283" s="134"/>
      <c r="AF283" s="134"/>
      <c r="AG283" s="134"/>
      <c r="AH283" s="134"/>
      <c r="AI283" s="134"/>
      <c r="AJ283" s="134"/>
      <c r="AK283" s="134"/>
    </row>
    <row r="284">
      <c r="A284" s="101" t="s">
        <v>1674</v>
      </c>
      <c r="B284" s="102"/>
      <c r="C284" s="101">
        <v>450.0</v>
      </c>
      <c r="D284" s="101">
        <v>0.0</v>
      </c>
      <c r="E284" s="101">
        <v>7.0</v>
      </c>
      <c r="F284" s="101">
        <v>7.0</v>
      </c>
      <c r="G284" s="102">
        <f t="shared" si="214"/>
        <v>3150</v>
      </c>
      <c r="H284" s="102">
        <f t="shared" si="215"/>
        <v>3150</v>
      </c>
      <c r="I284" s="101">
        <v>5.0</v>
      </c>
      <c r="J284" s="102">
        <f t="shared" si="216"/>
        <v>90</v>
      </c>
      <c r="K284" s="136">
        <f>IFERROR(__xludf.DUMMYFUNCTION("TO_PERCENT(C284/I284-J284)"),0.0)</f>
        <v>0</v>
      </c>
      <c r="L284" s="101">
        <v>40.0</v>
      </c>
      <c r="M284" s="102">
        <f t="shared" si="217"/>
        <v>11</v>
      </c>
      <c r="N284" s="136">
        <f>IFERROR(__xludf.DUMMYFUNCTION("TO_PERCENT(C284/L284-M284)"),0.25)</f>
        <v>0.25</v>
      </c>
      <c r="O284" s="101">
        <v>0.0</v>
      </c>
      <c r="P284" s="104">
        <v>0.0</v>
      </c>
      <c r="Q284" s="136">
        <v>0.5</v>
      </c>
      <c r="R284" s="102"/>
      <c r="S284" s="140"/>
      <c r="T284" s="102"/>
      <c r="U284" s="102"/>
      <c r="V284" s="140"/>
      <c r="W284" s="102"/>
      <c r="X284" s="102"/>
      <c r="Y284" s="140"/>
      <c r="Z284" s="102"/>
      <c r="AA284" s="102"/>
      <c r="AB284" s="141"/>
      <c r="AC284" s="102"/>
      <c r="AD284" s="102"/>
      <c r="AE284" s="134"/>
      <c r="AF284" s="134"/>
      <c r="AG284" s="134"/>
      <c r="AH284" s="134"/>
      <c r="AI284" s="134"/>
      <c r="AJ284" s="134"/>
      <c r="AK284" s="134"/>
    </row>
    <row r="285">
      <c r="A285" s="101" t="s">
        <v>1675</v>
      </c>
      <c r="B285" s="102"/>
      <c r="C285" s="101">
        <v>510.0</v>
      </c>
      <c r="D285" s="101">
        <v>0.0</v>
      </c>
      <c r="E285" s="101">
        <v>7.0</v>
      </c>
      <c r="F285" s="101">
        <v>7.0</v>
      </c>
      <c r="G285" s="102">
        <f t="shared" si="214"/>
        <v>3570</v>
      </c>
      <c r="H285" s="102">
        <f t="shared" si="215"/>
        <v>3570</v>
      </c>
      <c r="I285" s="101">
        <v>5.0</v>
      </c>
      <c r="J285" s="102">
        <f t="shared" si="216"/>
        <v>102</v>
      </c>
      <c r="K285" s="136">
        <f>IFERROR(__xludf.DUMMYFUNCTION("TO_PERCENT(C285/I285-J285)"),0.0)</f>
        <v>0</v>
      </c>
      <c r="L285" s="101">
        <v>40.0</v>
      </c>
      <c r="M285" s="102">
        <f t="shared" si="217"/>
        <v>12</v>
      </c>
      <c r="N285" s="136">
        <f>IFERROR(__xludf.DUMMYFUNCTION("TO_PERCENT(C285/L285-M285)"),0.75)</f>
        <v>0.75</v>
      </c>
      <c r="O285" s="101">
        <v>0.0</v>
      </c>
      <c r="P285" s="101">
        <v>1.0</v>
      </c>
      <c r="Q285" s="136">
        <v>0.0</v>
      </c>
      <c r="R285" s="102"/>
      <c r="S285" s="140"/>
      <c r="T285" s="102"/>
      <c r="U285" s="102"/>
      <c r="V285" s="140"/>
      <c r="W285" s="102"/>
      <c r="X285" s="102"/>
      <c r="Y285" s="140"/>
      <c r="Z285" s="102"/>
      <c r="AA285" s="102"/>
      <c r="AB285" s="141"/>
      <c r="AC285" s="102"/>
      <c r="AD285" s="102"/>
      <c r="AE285" s="134"/>
      <c r="AF285" s="134"/>
      <c r="AG285" s="134"/>
      <c r="AH285" s="134"/>
      <c r="AI285" s="134"/>
      <c r="AJ285" s="134"/>
      <c r="AK285" s="134"/>
    </row>
    <row r="286">
      <c r="A286" s="135" t="s">
        <v>1678</v>
      </c>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5"/>
      <c r="AE286" s="134"/>
      <c r="AF286" s="134"/>
      <c r="AG286" s="134"/>
      <c r="AH286" s="134"/>
      <c r="AI286" s="134"/>
      <c r="AJ286" s="134"/>
      <c r="AK286" s="134"/>
    </row>
    <row r="287">
      <c r="A287" s="101" t="s">
        <v>1671</v>
      </c>
      <c r="B287" s="102"/>
      <c r="C287" s="101">
        <v>150.0</v>
      </c>
      <c r="D287" s="101">
        <v>0.0</v>
      </c>
      <c r="E287" s="101">
        <v>5.0</v>
      </c>
      <c r="F287" s="101">
        <v>5.0</v>
      </c>
      <c r="G287" s="102">
        <f t="shared" ref="G287:G291" si="218">E287*C287</f>
        <v>750</v>
      </c>
      <c r="H287" s="102">
        <f t="shared" ref="H287:H291" si="219">F287*C287</f>
        <v>750</v>
      </c>
      <c r="I287" s="101">
        <v>10.0</v>
      </c>
      <c r="J287" s="102">
        <f t="shared" ref="J287:J291" si="220">ROUNDDOWN(C287/I287,0)</f>
        <v>15</v>
      </c>
      <c r="K287" s="136">
        <f>IFERROR(__xludf.DUMMYFUNCTION("TO_PERCENT(C287/I287-J287)"),0.0)</f>
        <v>0</v>
      </c>
      <c r="L287" s="101">
        <v>40.0</v>
      </c>
      <c r="M287" s="102">
        <f t="shared" ref="M287:M291" si="221">ROUNDDOWN(C287/L287,0)</f>
        <v>3</v>
      </c>
      <c r="N287" s="136">
        <f>IFERROR(__xludf.DUMMYFUNCTION("TO_PERCENT(C287/L287-M287)"),0.75)</f>
        <v>0.75</v>
      </c>
      <c r="O287" s="101">
        <v>0.0</v>
      </c>
      <c r="P287" s="101">
        <v>0.0</v>
      </c>
      <c r="Q287" s="136">
        <v>0.0</v>
      </c>
      <c r="R287" s="102"/>
      <c r="S287" s="140"/>
      <c r="T287" s="102"/>
      <c r="U287" s="102"/>
      <c r="V287" s="140"/>
      <c r="W287" s="102"/>
      <c r="X287" s="102"/>
      <c r="Y287" s="140"/>
      <c r="Z287" s="102"/>
      <c r="AA287" s="102"/>
      <c r="AB287" s="141"/>
      <c r="AC287" s="102"/>
      <c r="AD287" s="102"/>
      <c r="AE287" s="134"/>
      <c r="AF287" s="134"/>
      <c r="AG287" s="134"/>
      <c r="AH287" s="134"/>
      <c r="AI287" s="134"/>
      <c r="AJ287" s="134"/>
      <c r="AK287" s="134"/>
    </row>
    <row r="288">
      <c r="A288" s="101" t="s">
        <v>1672</v>
      </c>
      <c r="B288" s="102"/>
      <c r="C288" s="101">
        <v>450.0</v>
      </c>
      <c r="D288" s="101">
        <v>0.0</v>
      </c>
      <c r="E288" s="101">
        <v>7.0</v>
      </c>
      <c r="F288" s="101">
        <v>7.0</v>
      </c>
      <c r="G288" s="102">
        <f t="shared" si="218"/>
        <v>3150</v>
      </c>
      <c r="H288" s="102">
        <f t="shared" si="219"/>
        <v>3150</v>
      </c>
      <c r="I288" s="101">
        <v>5.0</v>
      </c>
      <c r="J288" s="102">
        <f t="shared" si="220"/>
        <v>90</v>
      </c>
      <c r="K288" s="136">
        <f>IFERROR(__xludf.DUMMYFUNCTION("TO_PERCENT(C288/I288-J288)"),0.0)</f>
        <v>0</v>
      </c>
      <c r="L288" s="101">
        <v>40.0</v>
      </c>
      <c r="M288" s="102">
        <f t="shared" si="221"/>
        <v>11</v>
      </c>
      <c r="N288" s="136">
        <f>IFERROR(__xludf.DUMMYFUNCTION("TO_PERCENT(C288/L288-M288)"),0.25)</f>
        <v>0.25</v>
      </c>
      <c r="O288" s="101">
        <v>0.0</v>
      </c>
      <c r="P288" s="104">
        <v>0.0</v>
      </c>
      <c r="Q288" s="136">
        <v>0.333333333333333</v>
      </c>
      <c r="R288" s="102"/>
      <c r="S288" s="140"/>
      <c r="T288" s="102"/>
      <c r="U288" s="102"/>
      <c r="V288" s="140"/>
      <c r="W288" s="102"/>
      <c r="X288" s="102"/>
      <c r="Y288" s="140"/>
      <c r="Z288" s="102"/>
      <c r="AA288" s="102"/>
      <c r="AB288" s="141"/>
      <c r="AC288" s="102"/>
      <c r="AD288" s="102"/>
      <c r="AE288" s="134"/>
      <c r="AF288" s="134"/>
      <c r="AG288" s="134"/>
      <c r="AH288" s="134"/>
      <c r="AI288" s="134"/>
      <c r="AJ288" s="134"/>
      <c r="AK288" s="134"/>
    </row>
    <row r="289">
      <c r="A289" s="101" t="s">
        <v>1673</v>
      </c>
      <c r="B289" s="102"/>
      <c r="C289" s="101">
        <v>510.0</v>
      </c>
      <c r="D289" s="101">
        <v>0.0</v>
      </c>
      <c r="E289" s="101">
        <v>7.0</v>
      </c>
      <c r="F289" s="101">
        <v>7.0</v>
      </c>
      <c r="G289" s="102">
        <f t="shared" si="218"/>
        <v>3570</v>
      </c>
      <c r="H289" s="102">
        <f t="shared" si="219"/>
        <v>3570</v>
      </c>
      <c r="I289" s="101">
        <v>5.0</v>
      </c>
      <c r="J289" s="102">
        <f t="shared" si="220"/>
        <v>102</v>
      </c>
      <c r="K289" s="136">
        <f>IFERROR(__xludf.DUMMYFUNCTION("TO_PERCENT(C289/I289-J289)"),0.0)</f>
        <v>0</v>
      </c>
      <c r="L289" s="101">
        <v>40.0</v>
      </c>
      <c r="M289" s="102">
        <f t="shared" si="221"/>
        <v>12</v>
      </c>
      <c r="N289" s="136">
        <f>IFERROR(__xludf.DUMMYFUNCTION("TO_PERCENT(C289/L289-M289)"),0.75)</f>
        <v>0.75</v>
      </c>
      <c r="O289" s="101">
        <v>0.0</v>
      </c>
      <c r="P289" s="104">
        <v>0.0</v>
      </c>
      <c r="Q289" s="136">
        <v>0.5</v>
      </c>
      <c r="R289" s="102"/>
      <c r="S289" s="140"/>
      <c r="T289" s="102"/>
      <c r="U289" s="102"/>
      <c r="V289" s="140"/>
      <c r="W289" s="102"/>
      <c r="X289" s="102"/>
      <c r="Y289" s="140"/>
      <c r="Z289" s="102"/>
      <c r="AA289" s="102"/>
      <c r="AB289" s="141"/>
      <c r="AC289" s="102"/>
      <c r="AD289" s="102"/>
      <c r="AE289" s="134"/>
      <c r="AF289" s="134"/>
      <c r="AG289" s="134"/>
      <c r="AH289" s="134"/>
      <c r="AI289" s="134"/>
      <c r="AJ289" s="134"/>
      <c r="AK289" s="134"/>
    </row>
    <row r="290">
      <c r="A290" s="101" t="s">
        <v>1674</v>
      </c>
      <c r="B290" s="102"/>
      <c r="C290" s="101">
        <v>570.0</v>
      </c>
      <c r="D290" s="101">
        <v>0.0</v>
      </c>
      <c r="E290" s="101">
        <v>7.0</v>
      </c>
      <c r="F290" s="101">
        <v>7.0</v>
      </c>
      <c r="G290" s="102">
        <f t="shared" si="218"/>
        <v>3990</v>
      </c>
      <c r="H290" s="102">
        <f t="shared" si="219"/>
        <v>3990</v>
      </c>
      <c r="I290" s="101">
        <v>5.0</v>
      </c>
      <c r="J290" s="102">
        <f t="shared" si="220"/>
        <v>114</v>
      </c>
      <c r="K290" s="136">
        <f>IFERROR(__xludf.DUMMYFUNCTION("TO_PERCENT(C290/I290-J290)"),0.0)</f>
        <v>0</v>
      </c>
      <c r="L290" s="101">
        <v>40.0</v>
      </c>
      <c r="M290" s="102">
        <f t="shared" si="221"/>
        <v>14</v>
      </c>
      <c r="N290" s="136">
        <f>IFERROR(__xludf.DUMMYFUNCTION("TO_PERCENT(C290/L290-M290)"),0.25)</f>
        <v>0.25</v>
      </c>
      <c r="O290" s="101">
        <v>0.0</v>
      </c>
      <c r="P290" s="101">
        <v>1.0</v>
      </c>
      <c r="Q290" s="136">
        <v>0.0</v>
      </c>
      <c r="R290" s="102"/>
      <c r="S290" s="140"/>
      <c r="T290" s="102"/>
      <c r="U290" s="102"/>
      <c r="V290" s="140"/>
      <c r="W290" s="102"/>
      <c r="X290" s="102"/>
      <c r="Y290" s="140"/>
      <c r="Z290" s="102"/>
      <c r="AA290" s="102"/>
      <c r="AB290" s="141"/>
      <c r="AC290" s="102"/>
      <c r="AD290" s="102"/>
      <c r="AE290" s="134"/>
      <c r="AF290" s="134"/>
      <c r="AG290" s="134"/>
      <c r="AH290" s="134"/>
      <c r="AI290" s="134"/>
      <c r="AJ290" s="134"/>
      <c r="AK290" s="134"/>
    </row>
    <row r="291">
      <c r="A291" s="101" t="s">
        <v>1675</v>
      </c>
      <c r="B291" s="102"/>
      <c r="C291" s="101">
        <v>630.0</v>
      </c>
      <c r="D291" s="101">
        <v>0.0</v>
      </c>
      <c r="E291" s="101">
        <v>7.0</v>
      </c>
      <c r="F291" s="101">
        <v>7.0</v>
      </c>
      <c r="G291" s="102">
        <f t="shared" si="218"/>
        <v>4410</v>
      </c>
      <c r="H291" s="102">
        <f t="shared" si="219"/>
        <v>4410</v>
      </c>
      <c r="I291" s="101">
        <v>5.0</v>
      </c>
      <c r="J291" s="102">
        <f t="shared" si="220"/>
        <v>126</v>
      </c>
      <c r="K291" s="136">
        <f>IFERROR(__xludf.DUMMYFUNCTION("TO_PERCENT(C291/I291-J291)"),0.0)</f>
        <v>0</v>
      </c>
      <c r="L291" s="101">
        <v>40.0</v>
      </c>
      <c r="M291" s="102">
        <f t="shared" si="221"/>
        <v>15</v>
      </c>
      <c r="N291" s="136">
        <f>IFERROR(__xludf.DUMMYFUNCTION("TO_PERCENT(C291/L291-M291)"),0.75)</f>
        <v>0.75</v>
      </c>
      <c r="O291" s="101">
        <v>0.0</v>
      </c>
      <c r="P291" s="101">
        <v>1.0</v>
      </c>
      <c r="Q291" s="136">
        <v>0.0</v>
      </c>
      <c r="R291" s="102"/>
      <c r="S291" s="140"/>
      <c r="T291" s="102"/>
      <c r="U291" s="102"/>
      <c r="V291" s="140"/>
      <c r="W291" s="102"/>
      <c r="X291" s="102"/>
      <c r="Y291" s="140"/>
      <c r="Z291" s="102"/>
      <c r="AA291" s="102"/>
      <c r="AB291" s="141"/>
      <c r="AC291" s="102"/>
      <c r="AD291" s="102"/>
      <c r="AE291" s="134"/>
      <c r="AF291" s="134"/>
      <c r="AG291" s="134"/>
      <c r="AH291" s="134"/>
      <c r="AI291" s="134"/>
      <c r="AJ291" s="134"/>
      <c r="AK291" s="134"/>
    </row>
    <row r="292">
      <c r="K292" s="124"/>
      <c r="N292" s="124"/>
      <c r="Q292" s="124"/>
      <c r="S292" s="125"/>
      <c r="V292" s="125"/>
      <c r="Y292" s="125"/>
      <c r="AB292" s="126"/>
    </row>
    <row r="293">
      <c r="A293" s="127" t="s">
        <v>1679</v>
      </c>
      <c r="J293" s="144" t="s">
        <v>1680</v>
      </c>
      <c r="K293" s="88"/>
      <c r="S293" s="125"/>
      <c r="V293" s="125"/>
      <c r="Y293" s="125"/>
      <c r="AB293" s="126"/>
    </row>
    <row r="294">
      <c r="A294" s="100" t="s">
        <v>1681</v>
      </c>
      <c r="B294" s="100" t="s">
        <v>1682</v>
      </c>
      <c r="C294" s="100" t="s">
        <v>1683</v>
      </c>
      <c r="D294" s="100" t="s">
        <v>1684</v>
      </c>
      <c r="E294" s="100" t="s">
        <v>1685</v>
      </c>
      <c r="J294" s="100" t="s">
        <v>1686</v>
      </c>
      <c r="K294" s="100" t="s">
        <v>1682</v>
      </c>
      <c r="L294" s="100" t="s">
        <v>1683</v>
      </c>
      <c r="M294" s="100" t="s">
        <v>1684</v>
      </c>
      <c r="N294" s="100" t="s">
        <v>1685</v>
      </c>
      <c r="S294" s="125"/>
      <c r="V294" s="125"/>
      <c r="Y294" s="125"/>
      <c r="AB294" s="126"/>
    </row>
    <row r="295">
      <c r="A295" s="101">
        <v>1.0</v>
      </c>
      <c r="B295" s="145" t="s">
        <v>1621</v>
      </c>
      <c r="C295" s="145" t="s">
        <v>1621</v>
      </c>
      <c r="D295" s="145" t="s">
        <v>1621</v>
      </c>
      <c r="E295" s="145" t="s">
        <v>1621</v>
      </c>
      <c r="J295" s="145" t="s">
        <v>1621</v>
      </c>
      <c r="K295" s="102">
        <f t="shared" ref="K295:N295" si="222">COUNTIF(B295:B534,$J295)</f>
        <v>180</v>
      </c>
      <c r="L295" s="102">
        <f t="shared" si="222"/>
        <v>168</v>
      </c>
      <c r="M295" s="102">
        <f t="shared" si="222"/>
        <v>162</v>
      </c>
      <c r="N295" s="102">
        <f t="shared" si="222"/>
        <v>153</v>
      </c>
      <c r="S295" s="125"/>
      <c r="V295" s="125"/>
      <c r="Y295" s="125"/>
      <c r="AB295" s="126"/>
    </row>
    <row r="296">
      <c r="A296" s="102">
        <f t="shared" ref="A296:A534" si="224">A295+1</f>
        <v>2</v>
      </c>
      <c r="B296" s="145" t="s">
        <v>1621</v>
      </c>
      <c r="C296" s="145" t="s">
        <v>1621</v>
      </c>
      <c r="D296" s="145" t="s">
        <v>1621</v>
      </c>
      <c r="E296" s="145" t="s">
        <v>1621</v>
      </c>
      <c r="J296" s="145" t="s">
        <v>1624</v>
      </c>
      <c r="K296" s="102">
        <f t="shared" ref="K296:N296" si="223">COUNTIF(B296:B535,$J296)</f>
        <v>52</v>
      </c>
      <c r="L296" s="102">
        <f t="shared" si="223"/>
        <v>50</v>
      </c>
      <c r="M296" s="102">
        <f t="shared" si="223"/>
        <v>47</v>
      </c>
      <c r="N296" s="102">
        <f t="shared" si="223"/>
        <v>44</v>
      </c>
      <c r="S296" s="125"/>
      <c r="V296" s="125"/>
      <c r="Y296" s="125"/>
      <c r="AB296" s="126"/>
    </row>
    <row r="297">
      <c r="A297" s="102">
        <f t="shared" si="224"/>
        <v>3</v>
      </c>
      <c r="B297" s="145" t="s">
        <v>1621</v>
      </c>
      <c r="C297" s="145" t="s">
        <v>1621</v>
      </c>
      <c r="D297" s="145" t="s">
        <v>1621</v>
      </c>
      <c r="E297" s="145" t="s">
        <v>1621</v>
      </c>
      <c r="J297" s="145" t="s">
        <v>107</v>
      </c>
      <c r="K297" s="102">
        <f t="shared" ref="K297:N297" si="225">COUNTIF(B297:B536,$J297)</f>
        <v>4</v>
      </c>
      <c r="L297" s="102">
        <f t="shared" si="225"/>
        <v>4</v>
      </c>
      <c r="M297" s="102">
        <f t="shared" si="225"/>
        <v>4</v>
      </c>
      <c r="N297" s="102">
        <f t="shared" si="225"/>
        <v>4</v>
      </c>
      <c r="S297" s="125"/>
      <c r="V297" s="125"/>
      <c r="Y297" s="125"/>
      <c r="AB297" s="126"/>
    </row>
    <row r="298">
      <c r="A298" s="102">
        <f t="shared" si="224"/>
        <v>4</v>
      </c>
      <c r="B298" s="145" t="s">
        <v>1624</v>
      </c>
      <c r="C298" s="145" t="s">
        <v>1624</v>
      </c>
      <c r="D298" s="145" t="s">
        <v>1624</v>
      </c>
      <c r="E298" s="145" t="s">
        <v>1624</v>
      </c>
      <c r="J298" s="145" t="s">
        <v>1626</v>
      </c>
      <c r="K298" s="102">
        <f t="shared" ref="K298:N298" si="226">COUNTIF(B298:B537,$J298)</f>
        <v>4</v>
      </c>
      <c r="L298" s="102">
        <f t="shared" si="226"/>
        <v>4</v>
      </c>
      <c r="M298" s="102">
        <f t="shared" si="226"/>
        <v>4</v>
      </c>
      <c r="N298" s="102">
        <f t="shared" si="226"/>
        <v>4</v>
      </c>
      <c r="S298" s="125"/>
      <c r="V298" s="125"/>
      <c r="Y298" s="125"/>
      <c r="AB298" s="126"/>
    </row>
    <row r="299">
      <c r="A299" s="102">
        <f t="shared" si="224"/>
        <v>5</v>
      </c>
      <c r="B299" s="145" t="s">
        <v>1621</v>
      </c>
      <c r="C299" s="145" t="s">
        <v>1621</v>
      </c>
      <c r="D299" s="145" t="s">
        <v>1621</v>
      </c>
      <c r="E299" s="145" t="s">
        <v>1621</v>
      </c>
      <c r="J299" s="145" t="s">
        <v>1634</v>
      </c>
      <c r="K299" s="102">
        <f t="shared" ref="K299:N299" si="227">COUNTIF(B299:B538,$J299)</f>
        <v>0</v>
      </c>
      <c r="L299" s="102">
        <f t="shared" si="227"/>
        <v>4</v>
      </c>
      <c r="M299" s="102">
        <f t="shared" si="227"/>
        <v>7</v>
      </c>
      <c r="N299" s="102">
        <f t="shared" si="227"/>
        <v>12</v>
      </c>
      <c r="O299" s="131"/>
      <c r="S299" s="125"/>
      <c r="V299" s="125"/>
      <c r="Y299" s="125"/>
      <c r="AB299" s="126"/>
    </row>
    <row r="300">
      <c r="A300" s="102">
        <f t="shared" si="224"/>
        <v>6</v>
      </c>
      <c r="B300" s="145" t="s">
        <v>1621</v>
      </c>
      <c r="C300" s="145" t="s">
        <v>1621</v>
      </c>
      <c r="D300" s="145" t="s">
        <v>1621</v>
      </c>
      <c r="E300" s="145" t="s">
        <v>1621</v>
      </c>
      <c r="J300" s="145" t="s">
        <v>1635</v>
      </c>
      <c r="K300" s="102">
        <f t="shared" ref="K300:N300" si="228">COUNTIF(B300:B539,$J300)</f>
        <v>0</v>
      </c>
      <c r="L300" s="102">
        <f t="shared" si="228"/>
        <v>3</v>
      </c>
      <c r="M300" s="102">
        <f t="shared" si="228"/>
        <v>5</v>
      </c>
      <c r="N300" s="102">
        <f t="shared" si="228"/>
        <v>8</v>
      </c>
      <c r="O300" s="131"/>
      <c r="S300" s="125"/>
      <c r="V300" s="125"/>
      <c r="Y300" s="125"/>
      <c r="AB300" s="126"/>
    </row>
    <row r="301">
      <c r="A301" s="102">
        <f t="shared" si="224"/>
        <v>7</v>
      </c>
      <c r="B301" s="145" t="s">
        <v>1624</v>
      </c>
      <c r="C301" s="145" t="s">
        <v>1624</v>
      </c>
      <c r="D301" s="145" t="s">
        <v>1624</v>
      </c>
      <c r="E301" s="145" t="s">
        <v>1624</v>
      </c>
      <c r="J301" s="145" t="s">
        <v>1636</v>
      </c>
      <c r="K301" s="102">
        <f t="shared" ref="K301:N301" si="229">COUNTIF(B301:B540,$J301)</f>
        <v>0</v>
      </c>
      <c r="L301" s="102">
        <f t="shared" si="229"/>
        <v>2</v>
      </c>
      <c r="M301" s="102">
        <f t="shared" si="229"/>
        <v>3</v>
      </c>
      <c r="N301" s="102">
        <f t="shared" si="229"/>
        <v>4</v>
      </c>
      <c r="O301" s="99"/>
      <c r="S301" s="125"/>
      <c r="V301" s="125"/>
      <c r="Y301" s="125"/>
      <c r="AB301" s="126"/>
    </row>
    <row r="302">
      <c r="A302" s="102">
        <f t="shared" si="224"/>
        <v>8</v>
      </c>
      <c r="B302" s="145" t="s">
        <v>1621</v>
      </c>
      <c r="C302" s="145" t="s">
        <v>1621</v>
      </c>
      <c r="D302" s="145" t="s">
        <v>1621</v>
      </c>
      <c r="E302" s="145" t="s">
        <v>1621</v>
      </c>
      <c r="S302" s="125"/>
      <c r="V302" s="125"/>
      <c r="Y302" s="125"/>
      <c r="AB302" s="126"/>
    </row>
    <row r="303">
      <c r="A303" s="102">
        <f t="shared" si="224"/>
        <v>9</v>
      </c>
      <c r="B303" s="145" t="s">
        <v>1621</v>
      </c>
      <c r="C303" s="145" t="s">
        <v>1621</v>
      </c>
      <c r="D303" s="145" t="s">
        <v>1621</v>
      </c>
      <c r="E303" s="145" t="s">
        <v>1621</v>
      </c>
      <c r="L303" s="127" t="s">
        <v>1687</v>
      </c>
      <c r="N303" s="124"/>
      <c r="S303" s="125"/>
      <c r="V303" s="125"/>
      <c r="Y303" s="125"/>
      <c r="AB303" s="126"/>
    </row>
    <row r="304">
      <c r="A304" s="102">
        <f t="shared" si="224"/>
        <v>10</v>
      </c>
      <c r="B304" s="145" t="s">
        <v>1621</v>
      </c>
      <c r="C304" s="145" t="s">
        <v>1634</v>
      </c>
      <c r="D304" s="145" t="s">
        <v>1634</v>
      </c>
      <c r="E304" s="145" t="s">
        <v>1634</v>
      </c>
      <c r="L304" s="100" t="s">
        <v>1681</v>
      </c>
      <c r="M304" s="100" t="s">
        <v>1688</v>
      </c>
      <c r="N304" s="100" t="s">
        <v>1689</v>
      </c>
      <c r="S304" s="125"/>
      <c r="V304" s="125"/>
      <c r="Y304" s="125"/>
      <c r="AB304" s="126"/>
    </row>
    <row r="305">
      <c r="A305" s="102">
        <f t="shared" si="224"/>
        <v>11</v>
      </c>
      <c r="B305" s="145" t="s">
        <v>1621</v>
      </c>
      <c r="C305" s="145" t="s">
        <v>1621</v>
      </c>
      <c r="D305" s="145" t="s">
        <v>1621</v>
      </c>
      <c r="E305" s="145" t="s">
        <v>1621</v>
      </c>
      <c r="L305" s="101">
        <v>1.0</v>
      </c>
      <c r="M305" s="101">
        <v>2.0</v>
      </c>
      <c r="N305" s="101">
        <v>2.0</v>
      </c>
      <c r="S305" s="125"/>
      <c r="V305" s="125"/>
      <c r="Y305" s="125"/>
      <c r="AB305" s="126"/>
    </row>
    <row r="306">
      <c r="A306" s="102">
        <f t="shared" si="224"/>
        <v>12</v>
      </c>
      <c r="B306" s="145" t="s">
        <v>1626</v>
      </c>
      <c r="C306" s="145" t="s">
        <v>1626</v>
      </c>
      <c r="D306" s="145" t="s">
        <v>1626</v>
      </c>
      <c r="E306" s="145" t="s">
        <v>1626</v>
      </c>
      <c r="L306" s="102">
        <f t="shared" ref="L306:L328" si="230">L305+1</f>
        <v>2</v>
      </c>
      <c r="M306" s="101">
        <v>0.0</v>
      </c>
      <c r="N306" s="101">
        <v>3.0</v>
      </c>
      <c r="S306" s="125"/>
      <c r="V306" s="125"/>
      <c r="Y306" s="125"/>
      <c r="AB306" s="126"/>
    </row>
    <row r="307">
      <c r="A307" s="102">
        <f t="shared" si="224"/>
        <v>13</v>
      </c>
      <c r="B307" s="145" t="s">
        <v>1621</v>
      </c>
      <c r="C307" s="145" t="s">
        <v>1621</v>
      </c>
      <c r="D307" s="145" t="s">
        <v>1621</v>
      </c>
      <c r="E307" s="145" t="s">
        <v>1621</v>
      </c>
      <c r="L307" s="102">
        <f t="shared" si="230"/>
        <v>3</v>
      </c>
      <c r="M307" s="101">
        <v>0.0</v>
      </c>
      <c r="N307" s="101">
        <v>2.0</v>
      </c>
      <c r="S307" s="125"/>
      <c r="V307" s="125"/>
      <c r="Y307" s="125"/>
      <c r="AB307" s="126"/>
    </row>
    <row r="308">
      <c r="A308" s="102">
        <f t="shared" si="224"/>
        <v>14</v>
      </c>
      <c r="B308" s="145" t="s">
        <v>1621</v>
      </c>
      <c r="C308" s="145" t="s">
        <v>1621</v>
      </c>
      <c r="D308" s="145" t="s">
        <v>1621</v>
      </c>
      <c r="E308" s="145" t="s">
        <v>1621</v>
      </c>
      <c r="L308" s="102">
        <f t="shared" si="230"/>
        <v>4</v>
      </c>
      <c r="M308" s="101">
        <v>0.0</v>
      </c>
      <c r="N308" s="101">
        <v>3.0</v>
      </c>
      <c r="S308" s="125"/>
      <c r="V308" s="125"/>
      <c r="Y308" s="125"/>
      <c r="AB308" s="126"/>
    </row>
    <row r="309">
      <c r="A309" s="102">
        <f t="shared" si="224"/>
        <v>15</v>
      </c>
      <c r="B309" s="145" t="s">
        <v>1624</v>
      </c>
      <c r="C309" s="145" t="s">
        <v>1624</v>
      </c>
      <c r="D309" s="145" t="s">
        <v>1624</v>
      </c>
      <c r="E309" s="145" t="s">
        <v>1624</v>
      </c>
      <c r="L309" s="102">
        <f t="shared" si="230"/>
        <v>5</v>
      </c>
      <c r="M309" s="101">
        <v>2.0</v>
      </c>
      <c r="N309" s="101">
        <v>2.0</v>
      </c>
      <c r="S309" s="125"/>
      <c r="V309" s="125"/>
      <c r="Y309" s="125"/>
      <c r="AB309" s="126"/>
    </row>
    <row r="310">
      <c r="A310" s="102">
        <f t="shared" si="224"/>
        <v>16</v>
      </c>
      <c r="B310" s="145" t="s">
        <v>1621</v>
      </c>
      <c r="C310" s="145" t="s">
        <v>1635</v>
      </c>
      <c r="D310" s="145" t="s">
        <v>1635</v>
      </c>
      <c r="E310" s="145" t="s">
        <v>1635</v>
      </c>
      <c r="L310" s="102">
        <f t="shared" si="230"/>
        <v>6</v>
      </c>
      <c r="M310" s="101">
        <v>0.0</v>
      </c>
      <c r="N310" s="101">
        <v>4.0</v>
      </c>
      <c r="S310" s="125"/>
      <c r="V310" s="125"/>
      <c r="Y310" s="125"/>
      <c r="AB310" s="126"/>
    </row>
    <row r="311">
      <c r="A311" s="102">
        <f t="shared" si="224"/>
        <v>17</v>
      </c>
      <c r="B311" s="145" t="s">
        <v>1621</v>
      </c>
      <c r="C311" s="145" t="s">
        <v>1621</v>
      </c>
      <c r="D311" s="145" t="s">
        <v>1621</v>
      </c>
      <c r="E311" s="145" t="s">
        <v>1621</v>
      </c>
      <c r="L311" s="102">
        <f t="shared" si="230"/>
        <v>7</v>
      </c>
      <c r="M311" s="101">
        <v>0.0</v>
      </c>
      <c r="N311" s="101">
        <v>2.0</v>
      </c>
      <c r="S311" s="125"/>
      <c r="V311" s="125"/>
      <c r="Y311" s="125"/>
      <c r="AB311" s="126"/>
    </row>
    <row r="312">
      <c r="A312" s="102">
        <f t="shared" si="224"/>
        <v>18</v>
      </c>
      <c r="B312" s="145" t="s">
        <v>1621</v>
      </c>
      <c r="C312" s="145" t="s">
        <v>1621</v>
      </c>
      <c r="D312" s="145" t="s">
        <v>1621</v>
      </c>
      <c r="E312" s="145" t="s">
        <v>1621</v>
      </c>
      <c r="L312" s="102">
        <f t="shared" si="230"/>
        <v>8</v>
      </c>
      <c r="M312" s="101">
        <v>2.0</v>
      </c>
      <c r="N312" s="101">
        <v>2.0</v>
      </c>
      <c r="S312" s="125"/>
      <c r="V312" s="125"/>
      <c r="Y312" s="125"/>
      <c r="AB312" s="126"/>
    </row>
    <row r="313">
      <c r="A313" s="102">
        <f t="shared" si="224"/>
        <v>19</v>
      </c>
      <c r="B313" s="145" t="s">
        <v>1624</v>
      </c>
      <c r="C313" s="145" t="s">
        <v>1621</v>
      </c>
      <c r="D313" s="145" t="s">
        <v>1621</v>
      </c>
      <c r="E313" s="145" t="s">
        <v>1621</v>
      </c>
      <c r="L313" s="102">
        <f t="shared" si="230"/>
        <v>9</v>
      </c>
      <c r="M313" s="101">
        <v>0.0</v>
      </c>
      <c r="N313" s="101">
        <v>2.0</v>
      </c>
      <c r="S313" s="125"/>
      <c r="V313" s="125"/>
      <c r="Y313" s="125"/>
      <c r="AB313" s="126"/>
    </row>
    <row r="314">
      <c r="A314" s="102">
        <f t="shared" si="224"/>
        <v>20</v>
      </c>
      <c r="B314" s="145" t="s">
        <v>1621</v>
      </c>
      <c r="C314" s="145" t="s">
        <v>1621</v>
      </c>
      <c r="D314" s="145" t="s">
        <v>1621</v>
      </c>
      <c r="E314" s="145" t="s">
        <v>1621</v>
      </c>
      <c r="L314" s="102">
        <f t="shared" si="230"/>
        <v>10</v>
      </c>
      <c r="M314" s="101">
        <v>0.0</v>
      </c>
      <c r="N314" s="101">
        <v>4.0</v>
      </c>
      <c r="S314" s="125"/>
      <c r="V314" s="125"/>
      <c r="Y314" s="125"/>
      <c r="AB314" s="126"/>
    </row>
    <row r="315">
      <c r="A315" s="102">
        <f t="shared" si="224"/>
        <v>21</v>
      </c>
      <c r="B315" s="145" t="s">
        <v>1621</v>
      </c>
      <c r="C315" s="145" t="s">
        <v>1621</v>
      </c>
      <c r="D315" s="145" t="s">
        <v>1621</v>
      </c>
      <c r="E315" s="145" t="s">
        <v>1621</v>
      </c>
      <c r="L315" s="102">
        <f t="shared" si="230"/>
        <v>11</v>
      </c>
      <c r="M315" s="101">
        <v>0.0</v>
      </c>
      <c r="N315" s="101">
        <v>2.0</v>
      </c>
      <c r="S315" s="125"/>
      <c r="V315" s="125"/>
      <c r="Y315" s="125"/>
      <c r="AB315" s="126"/>
    </row>
    <row r="316">
      <c r="A316" s="102">
        <f t="shared" si="224"/>
        <v>22</v>
      </c>
      <c r="B316" s="145" t="s">
        <v>1621</v>
      </c>
      <c r="C316" s="145" t="s">
        <v>1621</v>
      </c>
      <c r="D316" s="145" t="s">
        <v>1621</v>
      </c>
      <c r="E316" s="145" t="s">
        <v>1621</v>
      </c>
      <c r="L316" s="102">
        <f t="shared" si="230"/>
        <v>12</v>
      </c>
      <c r="M316" s="101">
        <v>2.0</v>
      </c>
      <c r="N316" s="101">
        <v>2.0</v>
      </c>
      <c r="S316" s="125"/>
      <c r="V316" s="125"/>
      <c r="Y316" s="125"/>
      <c r="AB316" s="126"/>
    </row>
    <row r="317">
      <c r="A317" s="102">
        <f t="shared" si="224"/>
        <v>23</v>
      </c>
      <c r="B317" s="145" t="s">
        <v>1621</v>
      </c>
      <c r="C317" s="145" t="s">
        <v>1621</v>
      </c>
      <c r="D317" s="145" t="s">
        <v>1621</v>
      </c>
      <c r="E317" s="145" t="s">
        <v>1624</v>
      </c>
      <c r="L317" s="102">
        <f t="shared" si="230"/>
        <v>13</v>
      </c>
      <c r="M317" s="101">
        <v>0.0</v>
      </c>
      <c r="N317" s="101">
        <v>3.0</v>
      </c>
      <c r="S317" s="125"/>
      <c r="V317" s="125"/>
      <c r="Y317" s="125"/>
      <c r="AB317" s="126"/>
    </row>
    <row r="318">
      <c r="A318" s="102">
        <f t="shared" si="224"/>
        <v>24</v>
      </c>
      <c r="B318" s="145" t="s">
        <v>1624</v>
      </c>
      <c r="C318" s="145" t="s">
        <v>1624</v>
      </c>
      <c r="D318" s="145" t="s">
        <v>1624</v>
      </c>
      <c r="E318" s="145" t="s">
        <v>1621</v>
      </c>
      <c r="L318" s="102">
        <f t="shared" si="230"/>
        <v>14</v>
      </c>
      <c r="M318" s="101">
        <v>0.0</v>
      </c>
      <c r="N318" s="101">
        <v>2.0</v>
      </c>
      <c r="S318" s="125"/>
      <c r="V318" s="125"/>
      <c r="Y318" s="125"/>
      <c r="AB318" s="126"/>
    </row>
    <row r="319">
      <c r="A319" s="102">
        <f t="shared" si="224"/>
        <v>25</v>
      </c>
      <c r="B319" s="145" t="s">
        <v>1621</v>
      </c>
      <c r="C319" s="145" t="s">
        <v>1621</v>
      </c>
      <c r="D319" s="145" t="s">
        <v>1621</v>
      </c>
      <c r="E319" s="145" t="s">
        <v>1624</v>
      </c>
      <c r="L319" s="102">
        <f t="shared" si="230"/>
        <v>15</v>
      </c>
      <c r="M319" s="101">
        <v>0.0</v>
      </c>
      <c r="N319" s="101">
        <v>2.0</v>
      </c>
      <c r="Q319" s="124"/>
      <c r="S319" s="125"/>
      <c r="V319" s="125"/>
      <c r="Y319" s="125"/>
      <c r="AB319" s="126"/>
    </row>
    <row r="320">
      <c r="A320" s="102">
        <f t="shared" si="224"/>
        <v>26</v>
      </c>
      <c r="B320" s="145" t="s">
        <v>1624</v>
      </c>
      <c r="C320" s="145" t="s">
        <v>1624</v>
      </c>
      <c r="D320" s="145" t="s">
        <v>1624</v>
      </c>
      <c r="E320" s="145" t="s">
        <v>1634</v>
      </c>
      <c r="L320" s="102">
        <f t="shared" si="230"/>
        <v>16</v>
      </c>
      <c r="M320" s="101">
        <v>2.0</v>
      </c>
      <c r="N320" s="101">
        <v>2.0</v>
      </c>
      <c r="Q320" s="124"/>
      <c r="S320" s="125"/>
      <c r="V320" s="125"/>
      <c r="Y320" s="125"/>
      <c r="AB320" s="126"/>
    </row>
    <row r="321">
      <c r="A321" s="102">
        <f t="shared" si="224"/>
        <v>27</v>
      </c>
      <c r="B321" s="145" t="s">
        <v>1621</v>
      </c>
      <c r="C321" s="145" t="s">
        <v>1621</v>
      </c>
      <c r="D321" s="145" t="s">
        <v>1634</v>
      </c>
      <c r="E321" s="145" t="s">
        <v>1621</v>
      </c>
      <c r="L321" s="102">
        <f t="shared" si="230"/>
        <v>17</v>
      </c>
      <c r="M321" s="101">
        <v>0.0</v>
      </c>
      <c r="N321" s="101">
        <v>2.0</v>
      </c>
      <c r="P321" s="146"/>
      <c r="S321" s="125"/>
      <c r="V321" s="125"/>
      <c r="Y321" s="125"/>
      <c r="AB321" s="126"/>
    </row>
    <row r="322">
      <c r="A322" s="102">
        <f t="shared" si="224"/>
        <v>28</v>
      </c>
      <c r="B322" s="145" t="s">
        <v>1621</v>
      </c>
      <c r="C322" s="145" t="s">
        <v>1621</v>
      </c>
      <c r="D322" s="145" t="s">
        <v>1621</v>
      </c>
      <c r="E322" s="145" t="s">
        <v>1621</v>
      </c>
      <c r="L322" s="102">
        <f t="shared" si="230"/>
        <v>18</v>
      </c>
      <c r="M322" s="101">
        <v>0.0</v>
      </c>
      <c r="N322" s="101">
        <v>3.0</v>
      </c>
      <c r="P322" s="147"/>
      <c r="Q322" s="124"/>
      <c r="S322" s="125"/>
      <c r="V322" s="125"/>
      <c r="Y322" s="125"/>
      <c r="AB322" s="126"/>
    </row>
    <row r="323">
      <c r="A323" s="102">
        <f t="shared" si="224"/>
        <v>29</v>
      </c>
      <c r="B323" s="145" t="s">
        <v>1621</v>
      </c>
      <c r="C323" s="145" t="s">
        <v>1621</v>
      </c>
      <c r="D323" s="145" t="s">
        <v>1621</v>
      </c>
      <c r="E323" s="145" t="s">
        <v>1621</v>
      </c>
      <c r="L323" s="102">
        <f t="shared" si="230"/>
        <v>19</v>
      </c>
      <c r="M323" s="101">
        <v>2.0</v>
      </c>
      <c r="N323" s="101">
        <v>3.0</v>
      </c>
      <c r="P323" s="131"/>
      <c r="Q323" s="124"/>
      <c r="S323" s="125"/>
      <c r="V323" s="125"/>
      <c r="Y323" s="125"/>
      <c r="AB323" s="126"/>
    </row>
    <row r="324">
      <c r="A324" s="102">
        <f t="shared" si="224"/>
        <v>30</v>
      </c>
      <c r="B324" s="145" t="s">
        <v>1621</v>
      </c>
      <c r="C324" s="145" t="s">
        <v>1621</v>
      </c>
      <c r="D324" s="145" t="s">
        <v>1621</v>
      </c>
      <c r="E324" s="145" t="s">
        <v>1624</v>
      </c>
      <c r="L324" s="102">
        <f t="shared" si="230"/>
        <v>20</v>
      </c>
      <c r="M324" s="101">
        <v>2.0</v>
      </c>
      <c r="N324" s="101">
        <v>2.0</v>
      </c>
      <c r="P324" s="131"/>
      <c r="Q324" s="124"/>
      <c r="S324" s="125"/>
      <c r="V324" s="125"/>
      <c r="Y324" s="125"/>
      <c r="AB324" s="126"/>
    </row>
    <row r="325">
      <c r="A325" s="102">
        <f t="shared" si="224"/>
        <v>31</v>
      </c>
      <c r="B325" s="145" t="s">
        <v>1624</v>
      </c>
      <c r="C325" s="145" t="s">
        <v>1624</v>
      </c>
      <c r="D325" s="145" t="s">
        <v>1624</v>
      </c>
      <c r="E325" s="145" t="s">
        <v>1635</v>
      </c>
      <c r="L325" s="102">
        <f t="shared" si="230"/>
        <v>21</v>
      </c>
      <c r="M325" s="101">
        <v>0.0</v>
      </c>
      <c r="N325" s="101">
        <v>3.0</v>
      </c>
      <c r="P325" s="131"/>
      <c r="Q325" s="124"/>
      <c r="S325" s="125"/>
      <c r="V325" s="125"/>
      <c r="Y325" s="125"/>
      <c r="AB325" s="126"/>
    </row>
    <row r="326">
      <c r="A326" s="102">
        <f t="shared" si="224"/>
        <v>32</v>
      </c>
      <c r="B326" s="145" t="s">
        <v>1621</v>
      </c>
      <c r="C326" s="145" t="s">
        <v>1624</v>
      </c>
      <c r="D326" s="145" t="s">
        <v>1624</v>
      </c>
      <c r="E326" s="145" t="s">
        <v>1621</v>
      </c>
      <c r="F326" s="131"/>
      <c r="G326" s="131"/>
      <c r="H326" s="131"/>
      <c r="L326" s="102">
        <f t="shared" si="230"/>
        <v>22</v>
      </c>
      <c r="M326" s="101">
        <v>0.0</v>
      </c>
      <c r="N326" s="101">
        <v>2.0</v>
      </c>
      <c r="O326" s="124"/>
      <c r="P326" s="131"/>
      <c r="Q326" s="124"/>
      <c r="S326" s="125"/>
      <c r="V326" s="125"/>
      <c r="Y326" s="125"/>
      <c r="AB326" s="126"/>
    </row>
    <row r="327">
      <c r="A327" s="102">
        <f t="shared" si="224"/>
        <v>33</v>
      </c>
      <c r="B327" s="145" t="s">
        <v>1621</v>
      </c>
      <c r="C327" s="145" t="s">
        <v>1621</v>
      </c>
      <c r="D327" s="145" t="s">
        <v>1621</v>
      </c>
      <c r="E327" s="145" t="s">
        <v>1621</v>
      </c>
      <c r="F327" s="131"/>
      <c r="G327" s="131"/>
      <c r="H327" s="131"/>
      <c r="L327" s="102">
        <f t="shared" si="230"/>
        <v>23</v>
      </c>
      <c r="M327" s="101">
        <v>0.0</v>
      </c>
      <c r="N327" s="101">
        <v>3.0</v>
      </c>
      <c r="O327" s="124"/>
      <c r="P327" s="131"/>
      <c r="Q327" s="124"/>
      <c r="S327" s="125"/>
      <c r="V327" s="125"/>
      <c r="Y327" s="125"/>
      <c r="AB327" s="126"/>
    </row>
    <row r="328">
      <c r="A328" s="102">
        <f t="shared" si="224"/>
        <v>34</v>
      </c>
      <c r="B328" s="145" t="s">
        <v>1621</v>
      </c>
      <c r="C328" s="145" t="s">
        <v>1621</v>
      </c>
      <c r="D328" s="145" t="s">
        <v>1621</v>
      </c>
      <c r="E328" s="145" t="s">
        <v>1621</v>
      </c>
      <c r="F328" s="131"/>
      <c r="G328" s="131"/>
      <c r="H328" s="131"/>
      <c r="L328" s="102">
        <f t="shared" si="230"/>
        <v>24</v>
      </c>
      <c r="M328" s="101">
        <v>0.0</v>
      </c>
      <c r="N328" s="101">
        <v>3.0</v>
      </c>
      <c r="O328" s="124"/>
      <c r="P328" s="131"/>
      <c r="Q328" s="124"/>
      <c r="S328" s="125"/>
      <c r="V328" s="125"/>
      <c r="Y328" s="125"/>
      <c r="AB328" s="126"/>
    </row>
    <row r="329">
      <c r="A329" s="102">
        <f t="shared" si="224"/>
        <v>35</v>
      </c>
      <c r="B329" s="145" t="s">
        <v>1621</v>
      </c>
      <c r="C329" s="145" t="s">
        <v>1621</v>
      </c>
      <c r="D329" s="145" t="s">
        <v>1621</v>
      </c>
      <c r="E329" s="145" t="s">
        <v>1621</v>
      </c>
      <c r="F329" s="131"/>
      <c r="G329" s="131"/>
      <c r="H329" s="131"/>
      <c r="N329" s="124"/>
      <c r="O329" s="124"/>
      <c r="P329" s="131"/>
      <c r="Q329" s="124"/>
      <c r="S329" s="125"/>
      <c r="V329" s="125"/>
      <c r="Y329" s="125"/>
      <c r="AB329" s="126"/>
    </row>
    <row r="330">
      <c r="A330" s="102">
        <f t="shared" si="224"/>
        <v>36</v>
      </c>
      <c r="B330" s="145" t="s">
        <v>1624</v>
      </c>
      <c r="C330" s="145" t="s">
        <v>1621</v>
      </c>
      <c r="D330" s="145" t="s">
        <v>1621</v>
      </c>
      <c r="E330" s="145" t="s">
        <v>1636</v>
      </c>
      <c r="F330" s="146"/>
      <c r="G330" s="146"/>
      <c r="H330" s="146"/>
      <c r="L330" s="127" t="s">
        <v>1690</v>
      </c>
      <c r="N330" s="124"/>
      <c r="O330" s="124"/>
      <c r="P330" s="131"/>
      <c r="Q330" s="124"/>
      <c r="S330" s="125"/>
      <c r="V330" s="125"/>
      <c r="Y330" s="125"/>
      <c r="AB330" s="126"/>
    </row>
    <row r="331">
      <c r="A331" s="102">
        <f t="shared" si="224"/>
        <v>37</v>
      </c>
      <c r="B331" s="145" t="s">
        <v>1621</v>
      </c>
      <c r="C331" s="145" t="s">
        <v>1636</v>
      </c>
      <c r="D331" s="145" t="s">
        <v>1636</v>
      </c>
      <c r="E331" s="145" t="s">
        <v>1621</v>
      </c>
      <c r="F331" s="131"/>
      <c r="G331" s="131"/>
      <c r="H331" s="131"/>
      <c r="L331" s="100" t="s">
        <v>1681</v>
      </c>
      <c r="M331" s="100" t="s">
        <v>1686</v>
      </c>
      <c r="N331" s="124"/>
      <c r="O331" s="124"/>
      <c r="P331" s="131"/>
      <c r="Q331" s="124"/>
      <c r="S331" s="125"/>
      <c r="V331" s="125"/>
      <c r="Y331" s="125"/>
      <c r="AB331" s="126"/>
    </row>
    <row r="332">
      <c r="A332" s="102">
        <f t="shared" si="224"/>
        <v>38</v>
      </c>
      <c r="B332" s="145" t="s">
        <v>1621</v>
      </c>
      <c r="C332" s="145" t="s">
        <v>1621</v>
      </c>
      <c r="D332" s="145" t="s">
        <v>1621</v>
      </c>
      <c r="E332" s="145" t="s">
        <v>1624</v>
      </c>
      <c r="F332" s="131"/>
      <c r="G332" s="131"/>
      <c r="H332" s="131"/>
      <c r="L332" s="101">
        <v>1.0</v>
      </c>
      <c r="M332" s="148" t="s">
        <v>1616</v>
      </c>
      <c r="N332" s="124"/>
      <c r="O332" s="124"/>
      <c r="Q332" s="124"/>
      <c r="S332" s="125"/>
      <c r="V332" s="125"/>
      <c r="Y332" s="125"/>
      <c r="AB332" s="126"/>
    </row>
    <row r="333">
      <c r="A333" s="102">
        <f t="shared" si="224"/>
        <v>39</v>
      </c>
      <c r="B333" s="145" t="s">
        <v>1624</v>
      </c>
      <c r="C333" s="145" t="s">
        <v>1624</v>
      </c>
      <c r="D333" s="145" t="s">
        <v>1624</v>
      </c>
      <c r="E333" s="145" t="s">
        <v>1621</v>
      </c>
      <c r="F333" s="131"/>
      <c r="G333" s="131"/>
      <c r="H333" s="131"/>
      <c r="L333" s="101">
        <f t="shared" ref="L333:L335" si="231">L332+1</f>
        <v>2</v>
      </c>
      <c r="M333" s="148" t="s">
        <v>1618</v>
      </c>
      <c r="N333" s="124"/>
      <c r="O333" s="124"/>
      <c r="Q333" s="124"/>
      <c r="S333" s="125"/>
      <c r="V333" s="125"/>
      <c r="Y333" s="125"/>
      <c r="AB333" s="126"/>
    </row>
    <row r="334">
      <c r="A334" s="102">
        <f t="shared" si="224"/>
        <v>40</v>
      </c>
      <c r="B334" s="145" t="s">
        <v>1621</v>
      </c>
      <c r="C334" s="145" t="s">
        <v>1621</v>
      </c>
      <c r="D334" s="145" t="s">
        <v>1621</v>
      </c>
      <c r="E334" s="145" t="s">
        <v>1621</v>
      </c>
      <c r="F334" s="131"/>
      <c r="G334" s="131"/>
      <c r="H334" s="131"/>
      <c r="L334" s="101">
        <f t="shared" si="231"/>
        <v>3</v>
      </c>
      <c r="M334" s="149" t="s">
        <v>1619</v>
      </c>
      <c r="N334" s="124"/>
      <c r="O334" s="124"/>
      <c r="Q334" s="124"/>
      <c r="S334" s="125"/>
      <c r="V334" s="125"/>
      <c r="Y334" s="125"/>
      <c r="AB334" s="126"/>
    </row>
    <row r="335">
      <c r="A335" s="102">
        <f t="shared" si="224"/>
        <v>41</v>
      </c>
      <c r="B335" s="145" t="s">
        <v>1621</v>
      </c>
      <c r="C335" s="145" t="s">
        <v>1621</v>
      </c>
      <c r="D335" s="145" t="s">
        <v>1621</v>
      </c>
      <c r="E335" s="145" t="s">
        <v>1621</v>
      </c>
      <c r="F335" s="131"/>
      <c r="G335" s="131"/>
      <c r="H335" s="131"/>
      <c r="L335" s="101">
        <f t="shared" si="231"/>
        <v>4</v>
      </c>
      <c r="M335" s="149" t="s">
        <v>1620</v>
      </c>
      <c r="N335" s="124"/>
      <c r="O335" s="124"/>
      <c r="Q335" s="124"/>
      <c r="S335" s="125"/>
      <c r="V335" s="125"/>
      <c r="Y335" s="125"/>
      <c r="AB335" s="126"/>
    </row>
    <row r="336">
      <c r="A336" s="102">
        <f t="shared" si="224"/>
        <v>42</v>
      </c>
      <c r="B336" s="145" t="s">
        <v>1621</v>
      </c>
      <c r="C336" s="145" t="s">
        <v>1621</v>
      </c>
      <c r="D336" s="145" t="s">
        <v>1621</v>
      </c>
      <c r="E336" s="145" t="s">
        <v>1624</v>
      </c>
      <c r="F336" s="131"/>
      <c r="G336" s="131"/>
      <c r="H336" s="131"/>
      <c r="K336" s="124"/>
      <c r="N336" s="124"/>
      <c r="Q336" s="124"/>
      <c r="S336" s="125"/>
      <c r="V336" s="125"/>
      <c r="Y336" s="125"/>
      <c r="AB336" s="126"/>
    </row>
    <row r="337">
      <c r="A337" s="102">
        <f t="shared" si="224"/>
        <v>43</v>
      </c>
      <c r="B337" s="145" t="s">
        <v>1621</v>
      </c>
      <c r="C337" s="145" t="s">
        <v>1624</v>
      </c>
      <c r="D337" s="145" t="s">
        <v>1624</v>
      </c>
      <c r="E337" s="145" t="s">
        <v>1621</v>
      </c>
      <c r="F337" s="131"/>
      <c r="G337" s="131"/>
      <c r="H337" s="131"/>
      <c r="K337" s="124"/>
      <c r="N337" s="124"/>
      <c r="Q337" s="124"/>
      <c r="S337" s="125"/>
      <c r="V337" s="125"/>
      <c r="Y337" s="125"/>
      <c r="AB337" s="126"/>
    </row>
    <row r="338">
      <c r="A338" s="102">
        <f t="shared" si="224"/>
        <v>44</v>
      </c>
      <c r="B338" s="145" t="s">
        <v>1624</v>
      </c>
      <c r="C338" s="145" t="s">
        <v>1621</v>
      </c>
      <c r="D338" s="145" t="s">
        <v>1621</v>
      </c>
      <c r="E338" s="145" t="s">
        <v>1621</v>
      </c>
      <c r="F338" s="131"/>
      <c r="G338" s="131"/>
      <c r="H338" s="131"/>
      <c r="K338" s="124"/>
      <c r="N338" s="124"/>
      <c r="Q338" s="124"/>
      <c r="S338" s="125"/>
      <c r="V338" s="125"/>
      <c r="Y338" s="125"/>
      <c r="AB338" s="126"/>
    </row>
    <row r="339">
      <c r="A339" s="102">
        <f t="shared" si="224"/>
        <v>45</v>
      </c>
      <c r="B339" s="145" t="s">
        <v>1621</v>
      </c>
      <c r="C339" s="145" t="s">
        <v>1621</v>
      </c>
      <c r="D339" s="145" t="s">
        <v>1621</v>
      </c>
      <c r="E339" s="145" t="s">
        <v>1624</v>
      </c>
      <c r="F339" s="131"/>
      <c r="G339" s="131"/>
      <c r="H339" s="131"/>
      <c r="K339" s="124"/>
      <c r="N339" s="124"/>
      <c r="Q339" s="124"/>
      <c r="S339" s="125"/>
      <c r="V339" s="125"/>
      <c r="Y339" s="125"/>
      <c r="AB339" s="126"/>
    </row>
    <row r="340">
      <c r="A340" s="102">
        <f t="shared" si="224"/>
        <v>46</v>
      </c>
      <c r="B340" s="145" t="s">
        <v>1621</v>
      </c>
      <c r="C340" s="145" t="s">
        <v>1624</v>
      </c>
      <c r="D340" s="145" t="s">
        <v>1624</v>
      </c>
      <c r="E340" s="145" t="s">
        <v>1624</v>
      </c>
      <c r="F340" s="131"/>
      <c r="G340" s="131"/>
      <c r="H340" s="131"/>
      <c r="K340" s="124"/>
      <c r="N340" s="124"/>
      <c r="Q340" s="124"/>
      <c r="S340" s="125"/>
      <c r="V340" s="125"/>
      <c r="Y340" s="125"/>
      <c r="AB340" s="126"/>
    </row>
    <row r="341">
      <c r="A341" s="102">
        <f t="shared" si="224"/>
        <v>47</v>
      </c>
      <c r="B341" s="145" t="s">
        <v>1624</v>
      </c>
      <c r="C341" s="145" t="s">
        <v>1624</v>
      </c>
      <c r="D341" s="145" t="s">
        <v>1624</v>
      </c>
      <c r="E341" s="145" t="s">
        <v>1621</v>
      </c>
      <c r="F341" s="131"/>
      <c r="G341" s="131"/>
      <c r="H341" s="131"/>
      <c r="K341" s="124"/>
      <c r="N341" s="124"/>
      <c r="Q341" s="124"/>
      <c r="S341" s="125"/>
      <c r="V341" s="125"/>
      <c r="Y341" s="125"/>
      <c r="AB341" s="126"/>
    </row>
    <row r="342">
      <c r="A342" s="102">
        <f t="shared" si="224"/>
        <v>48</v>
      </c>
      <c r="B342" s="145" t="s">
        <v>1621</v>
      </c>
      <c r="C342" s="145" t="s">
        <v>1621</v>
      </c>
      <c r="D342" s="145" t="s">
        <v>1621</v>
      </c>
      <c r="E342" s="145" t="s">
        <v>1621</v>
      </c>
      <c r="F342" s="131"/>
      <c r="G342" s="131"/>
      <c r="H342" s="131"/>
      <c r="K342" s="124"/>
      <c r="N342" s="124"/>
      <c r="Q342" s="124"/>
      <c r="S342" s="125"/>
      <c r="V342" s="125"/>
      <c r="Y342" s="125"/>
      <c r="AB342" s="126"/>
    </row>
    <row r="343">
      <c r="A343" s="102">
        <f t="shared" si="224"/>
        <v>49</v>
      </c>
      <c r="B343" s="145" t="s">
        <v>1621</v>
      </c>
      <c r="C343" s="145" t="s">
        <v>1621</v>
      </c>
      <c r="D343" s="145" t="s">
        <v>1621</v>
      </c>
      <c r="E343" s="145" t="s">
        <v>1621</v>
      </c>
      <c r="F343" s="146"/>
      <c r="G343" s="146"/>
      <c r="H343" s="146"/>
      <c r="K343" s="124"/>
      <c r="N343" s="124"/>
      <c r="Q343" s="124"/>
      <c r="S343" s="125"/>
      <c r="V343" s="125"/>
      <c r="Y343" s="125"/>
      <c r="AB343" s="126"/>
    </row>
    <row r="344">
      <c r="A344" s="102">
        <f t="shared" si="224"/>
        <v>50</v>
      </c>
      <c r="B344" s="145" t="s">
        <v>1621</v>
      </c>
      <c r="C344" s="145" t="s">
        <v>1621</v>
      </c>
      <c r="D344" s="145" t="s">
        <v>1621</v>
      </c>
      <c r="E344" s="145" t="s">
        <v>107</v>
      </c>
      <c r="F344" s="131"/>
      <c r="G344" s="131"/>
      <c r="H344" s="131"/>
      <c r="K344" s="124"/>
      <c r="N344" s="124"/>
      <c r="Q344" s="124"/>
      <c r="S344" s="125"/>
      <c r="V344" s="125"/>
      <c r="Y344" s="125"/>
      <c r="AB344" s="126"/>
    </row>
    <row r="345">
      <c r="A345" s="102">
        <f t="shared" si="224"/>
        <v>51</v>
      </c>
      <c r="B345" s="145" t="s">
        <v>1621</v>
      </c>
      <c r="C345" s="145" t="s">
        <v>107</v>
      </c>
      <c r="D345" s="145" t="s">
        <v>107</v>
      </c>
      <c r="E345" s="145" t="s">
        <v>1634</v>
      </c>
      <c r="F345" s="131"/>
      <c r="G345" s="131"/>
      <c r="H345" s="131"/>
      <c r="K345" s="124"/>
      <c r="N345" s="124"/>
      <c r="Q345" s="124"/>
      <c r="S345" s="125"/>
      <c r="V345" s="125"/>
      <c r="Y345" s="125"/>
      <c r="AB345" s="126"/>
    </row>
    <row r="346">
      <c r="A346" s="102">
        <f t="shared" si="224"/>
        <v>52</v>
      </c>
      <c r="B346" s="145" t="s">
        <v>107</v>
      </c>
      <c r="C346" s="145" t="s">
        <v>1634</v>
      </c>
      <c r="D346" s="145" t="s">
        <v>1634</v>
      </c>
      <c r="E346" s="145" t="s">
        <v>1621</v>
      </c>
      <c r="F346" s="131"/>
      <c r="G346" s="131"/>
      <c r="H346" s="131"/>
      <c r="K346" s="124"/>
      <c r="N346" s="124"/>
      <c r="Q346" s="124"/>
      <c r="S346" s="125"/>
      <c r="V346" s="125"/>
      <c r="Y346" s="125"/>
      <c r="AB346" s="126"/>
    </row>
    <row r="347">
      <c r="A347" s="102">
        <f t="shared" si="224"/>
        <v>53</v>
      </c>
      <c r="B347" s="145" t="s">
        <v>1621</v>
      </c>
      <c r="C347" s="145" t="s">
        <v>1621</v>
      </c>
      <c r="D347" s="145" t="s">
        <v>1621</v>
      </c>
      <c r="E347" s="145" t="s">
        <v>1621</v>
      </c>
      <c r="F347" s="131"/>
      <c r="G347" s="131"/>
      <c r="H347" s="131"/>
      <c r="K347" s="124"/>
      <c r="N347" s="124"/>
      <c r="Q347" s="124"/>
      <c r="S347" s="125"/>
      <c r="V347" s="125"/>
      <c r="Y347" s="125"/>
      <c r="AB347" s="126"/>
    </row>
    <row r="348">
      <c r="A348" s="102">
        <f t="shared" si="224"/>
        <v>54</v>
      </c>
      <c r="B348" s="145" t="s">
        <v>1621</v>
      </c>
      <c r="C348" s="145" t="s">
        <v>1621</v>
      </c>
      <c r="D348" s="145" t="s">
        <v>1621</v>
      </c>
      <c r="E348" s="145" t="s">
        <v>1621</v>
      </c>
      <c r="F348" s="131"/>
      <c r="G348" s="131"/>
      <c r="H348" s="131"/>
      <c r="K348" s="124"/>
      <c r="N348" s="124"/>
      <c r="Q348" s="124"/>
      <c r="S348" s="125"/>
      <c r="V348" s="125"/>
      <c r="Y348" s="125"/>
      <c r="AB348" s="126"/>
    </row>
    <row r="349">
      <c r="A349" s="102">
        <f t="shared" si="224"/>
        <v>55</v>
      </c>
      <c r="B349" s="145" t="s">
        <v>1624</v>
      </c>
      <c r="C349" s="145" t="s">
        <v>1621</v>
      </c>
      <c r="D349" s="145" t="s">
        <v>1621</v>
      </c>
      <c r="E349" s="145" t="s">
        <v>1621</v>
      </c>
      <c r="F349" s="131"/>
      <c r="G349" s="131"/>
      <c r="H349" s="131"/>
      <c r="K349" s="124"/>
      <c r="N349" s="124"/>
      <c r="Q349" s="124"/>
      <c r="S349" s="125"/>
      <c r="V349" s="125"/>
      <c r="Y349" s="125"/>
      <c r="AB349" s="126"/>
    </row>
    <row r="350">
      <c r="A350" s="102">
        <f t="shared" si="224"/>
        <v>56</v>
      </c>
      <c r="B350" s="145" t="s">
        <v>1621</v>
      </c>
      <c r="C350" s="145" t="s">
        <v>1621</v>
      </c>
      <c r="D350" s="145" t="s">
        <v>1621</v>
      </c>
      <c r="E350" s="145" t="s">
        <v>1621</v>
      </c>
      <c r="F350" s="131"/>
      <c r="G350" s="131"/>
      <c r="H350" s="131"/>
      <c r="K350" s="124"/>
      <c r="N350" s="124"/>
      <c r="Q350" s="124"/>
      <c r="S350" s="125"/>
      <c r="V350" s="125"/>
      <c r="Y350" s="125"/>
      <c r="AB350" s="126"/>
    </row>
    <row r="351">
      <c r="A351" s="102">
        <f t="shared" si="224"/>
        <v>57</v>
      </c>
      <c r="B351" s="145" t="s">
        <v>1621</v>
      </c>
      <c r="C351" s="145" t="s">
        <v>1621</v>
      </c>
      <c r="D351" s="145" t="s">
        <v>1621</v>
      </c>
      <c r="E351" s="145" t="s">
        <v>1624</v>
      </c>
      <c r="F351" s="131"/>
      <c r="G351" s="131"/>
      <c r="H351" s="131"/>
      <c r="K351" s="124"/>
      <c r="N351" s="124"/>
      <c r="Q351" s="124"/>
      <c r="S351" s="125"/>
      <c r="V351" s="125"/>
      <c r="Y351" s="125"/>
      <c r="AB351" s="126"/>
    </row>
    <row r="352">
      <c r="A352" s="102">
        <f t="shared" si="224"/>
        <v>58</v>
      </c>
      <c r="B352" s="145" t="s">
        <v>1621</v>
      </c>
      <c r="C352" s="145" t="s">
        <v>1624</v>
      </c>
      <c r="D352" s="145" t="s">
        <v>1624</v>
      </c>
      <c r="E352" s="145" t="s">
        <v>1621</v>
      </c>
      <c r="F352" s="131"/>
      <c r="G352" s="131"/>
      <c r="H352" s="131"/>
      <c r="K352" s="124"/>
      <c r="N352" s="124"/>
      <c r="Q352" s="124"/>
      <c r="S352" s="125"/>
      <c r="V352" s="125"/>
      <c r="Y352" s="125"/>
      <c r="AB352" s="126"/>
    </row>
    <row r="353">
      <c r="A353" s="102">
        <f t="shared" si="224"/>
        <v>59</v>
      </c>
      <c r="B353" s="145" t="s">
        <v>1624</v>
      </c>
      <c r="C353" s="145" t="s">
        <v>1621</v>
      </c>
      <c r="D353" s="145" t="s">
        <v>1621</v>
      </c>
      <c r="E353" s="145" t="s">
        <v>1621</v>
      </c>
      <c r="F353" s="131"/>
      <c r="G353" s="131"/>
      <c r="H353" s="131"/>
      <c r="K353" s="124"/>
      <c r="N353" s="124"/>
      <c r="Q353" s="124"/>
      <c r="S353" s="125"/>
      <c r="V353" s="125"/>
      <c r="Y353" s="125"/>
      <c r="AB353" s="126"/>
    </row>
    <row r="354">
      <c r="A354" s="102">
        <f t="shared" si="224"/>
        <v>60</v>
      </c>
      <c r="B354" s="145" t="s">
        <v>1621</v>
      </c>
      <c r="C354" s="145" t="s">
        <v>1621</v>
      </c>
      <c r="D354" s="145" t="s">
        <v>1621</v>
      </c>
      <c r="E354" s="145" t="s">
        <v>1621</v>
      </c>
      <c r="F354" s="131"/>
      <c r="G354" s="131"/>
      <c r="H354" s="131"/>
      <c r="K354" s="124"/>
      <c r="N354" s="124"/>
      <c r="Q354" s="124"/>
      <c r="S354" s="125"/>
      <c r="V354" s="125"/>
      <c r="Y354" s="125"/>
      <c r="AB354" s="126"/>
    </row>
    <row r="355">
      <c r="A355" s="102">
        <f t="shared" si="224"/>
        <v>61</v>
      </c>
      <c r="B355" s="145" t="s">
        <v>1621</v>
      </c>
      <c r="C355" s="145" t="s">
        <v>1621</v>
      </c>
      <c r="D355" s="145" t="s">
        <v>1621</v>
      </c>
      <c r="E355" s="145" t="s">
        <v>1635</v>
      </c>
      <c r="F355" s="131"/>
      <c r="G355" s="131"/>
      <c r="H355" s="131"/>
      <c r="K355" s="124"/>
      <c r="N355" s="124"/>
      <c r="Q355" s="124"/>
      <c r="S355" s="125"/>
      <c r="V355" s="125"/>
      <c r="Y355" s="125"/>
      <c r="AB355" s="126"/>
    </row>
    <row r="356">
      <c r="A356" s="102">
        <f t="shared" si="224"/>
        <v>62</v>
      </c>
      <c r="B356" s="145" t="s">
        <v>1621</v>
      </c>
      <c r="C356" s="145" t="s">
        <v>1624</v>
      </c>
      <c r="D356" s="145" t="s">
        <v>1635</v>
      </c>
      <c r="E356" s="145" t="s">
        <v>1624</v>
      </c>
      <c r="F356" s="146"/>
      <c r="G356" s="146"/>
      <c r="H356" s="146"/>
      <c r="K356" s="124"/>
      <c r="N356" s="124"/>
      <c r="Q356" s="124"/>
      <c r="S356" s="125"/>
      <c r="V356" s="125"/>
      <c r="Y356" s="125"/>
      <c r="AB356" s="126"/>
    </row>
    <row r="357">
      <c r="A357" s="102">
        <f t="shared" si="224"/>
        <v>63</v>
      </c>
      <c r="B357" s="145" t="s">
        <v>1621</v>
      </c>
      <c r="C357" s="145" t="s">
        <v>1624</v>
      </c>
      <c r="D357" s="145" t="s">
        <v>1624</v>
      </c>
      <c r="E357" s="145" t="s">
        <v>1621</v>
      </c>
      <c r="F357" s="131"/>
      <c r="G357" s="131"/>
      <c r="H357" s="131"/>
      <c r="K357" s="124"/>
      <c r="N357" s="124"/>
      <c r="Q357" s="124"/>
      <c r="S357" s="125"/>
      <c r="V357" s="125"/>
      <c r="Y357" s="125"/>
      <c r="AB357" s="126"/>
    </row>
    <row r="358">
      <c r="A358" s="102">
        <f t="shared" si="224"/>
        <v>64</v>
      </c>
      <c r="B358" s="145" t="s">
        <v>1624</v>
      </c>
      <c r="C358" s="145" t="s">
        <v>1621</v>
      </c>
      <c r="D358" s="145" t="s">
        <v>1621</v>
      </c>
      <c r="E358" s="145" t="s">
        <v>1624</v>
      </c>
      <c r="F358" s="131"/>
      <c r="G358" s="131"/>
      <c r="H358" s="131"/>
      <c r="K358" s="124"/>
      <c r="N358" s="124"/>
      <c r="Q358" s="124"/>
      <c r="S358" s="125"/>
      <c r="V358" s="125"/>
      <c r="Y358" s="125"/>
      <c r="AB358" s="126"/>
    </row>
    <row r="359">
      <c r="A359" s="102">
        <f t="shared" si="224"/>
        <v>65</v>
      </c>
      <c r="B359" s="145" t="s">
        <v>1621</v>
      </c>
      <c r="C359" s="145" t="s">
        <v>1624</v>
      </c>
      <c r="D359" s="145" t="s">
        <v>1624</v>
      </c>
      <c r="E359" s="145" t="s">
        <v>1621</v>
      </c>
      <c r="F359" s="131"/>
      <c r="G359" s="131"/>
      <c r="H359" s="131"/>
      <c r="K359" s="124"/>
      <c r="N359" s="124"/>
      <c r="Q359" s="124"/>
      <c r="S359" s="125"/>
      <c r="V359" s="125"/>
      <c r="Y359" s="125"/>
      <c r="AB359" s="126"/>
    </row>
    <row r="360">
      <c r="A360" s="102">
        <f t="shared" si="224"/>
        <v>66</v>
      </c>
      <c r="B360" s="145" t="s">
        <v>1624</v>
      </c>
      <c r="C360" s="145" t="s">
        <v>1621</v>
      </c>
      <c r="D360" s="145" t="s">
        <v>1621</v>
      </c>
      <c r="E360" s="145" t="s">
        <v>1621</v>
      </c>
      <c r="F360" s="131"/>
      <c r="G360" s="131"/>
      <c r="H360" s="131"/>
      <c r="K360" s="124"/>
      <c r="N360" s="124"/>
      <c r="Q360" s="124"/>
      <c r="S360" s="125"/>
      <c r="V360" s="125"/>
      <c r="Y360" s="125"/>
      <c r="AB360" s="126"/>
    </row>
    <row r="361">
      <c r="A361" s="102">
        <f t="shared" si="224"/>
        <v>67</v>
      </c>
      <c r="B361" s="145" t="s">
        <v>1621</v>
      </c>
      <c r="C361" s="145" t="s">
        <v>1621</v>
      </c>
      <c r="D361" s="145" t="s">
        <v>1621</v>
      </c>
      <c r="E361" s="145" t="s">
        <v>1634</v>
      </c>
      <c r="F361" s="131"/>
      <c r="G361" s="131"/>
      <c r="H361" s="131"/>
      <c r="K361" s="124"/>
      <c r="N361" s="124"/>
      <c r="Q361" s="124"/>
      <c r="S361" s="125"/>
      <c r="V361" s="125"/>
      <c r="Y361" s="125"/>
      <c r="AB361" s="126"/>
    </row>
    <row r="362">
      <c r="A362" s="102">
        <f t="shared" si="224"/>
        <v>68</v>
      </c>
      <c r="B362" s="145" t="s">
        <v>1621</v>
      </c>
      <c r="C362" s="145" t="s">
        <v>1621</v>
      </c>
      <c r="D362" s="145" t="s">
        <v>1621</v>
      </c>
      <c r="E362" s="145" t="s">
        <v>1621</v>
      </c>
      <c r="F362" s="131"/>
      <c r="G362" s="131"/>
      <c r="H362" s="131"/>
      <c r="K362" s="124"/>
      <c r="N362" s="124"/>
      <c r="Q362" s="124"/>
      <c r="S362" s="125"/>
      <c r="V362" s="125"/>
      <c r="Y362" s="125"/>
      <c r="AB362" s="126"/>
    </row>
    <row r="363">
      <c r="A363" s="102">
        <f t="shared" si="224"/>
        <v>69</v>
      </c>
      <c r="B363" s="145" t="s">
        <v>1621</v>
      </c>
      <c r="C363" s="145" t="s">
        <v>1621</v>
      </c>
      <c r="D363" s="145" t="s">
        <v>1621</v>
      </c>
      <c r="E363" s="145" t="s">
        <v>1621</v>
      </c>
      <c r="F363" s="131"/>
      <c r="G363" s="131"/>
      <c r="H363" s="131"/>
      <c r="K363" s="124"/>
      <c r="N363" s="124"/>
      <c r="Q363" s="124"/>
      <c r="S363" s="125"/>
      <c r="V363" s="125"/>
      <c r="Y363" s="125"/>
      <c r="AB363" s="126"/>
    </row>
    <row r="364">
      <c r="A364" s="102">
        <f t="shared" si="224"/>
        <v>70</v>
      </c>
      <c r="B364" s="145" t="s">
        <v>1621</v>
      </c>
      <c r="C364" s="145" t="s">
        <v>1621</v>
      </c>
      <c r="D364" s="145" t="s">
        <v>1621</v>
      </c>
      <c r="E364" s="145" t="s">
        <v>1621</v>
      </c>
      <c r="F364" s="131"/>
      <c r="G364" s="131"/>
      <c r="H364" s="131"/>
      <c r="K364" s="124"/>
      <c r="N364" s="124"/>
      <c r="Q364" s="124"/>
      <c r="S364" s="125"/>
      <c r="V364" s="125"/>
      <c r="Y364" s="125"/>
      <c r="AB364" s="126"/>
    </row>
    <row r="365">
      <c r="A365" s="102">
        <f t="shared" si="224"/>
        <v>71</v>
      </c>
      <c r="B365" s="145" t="s">
        <v>1624</v>
      </c>
      <c r="C365" s="145" t="s">
        <v>1621</v>
      </c>
      <c r="D365" s="145" t="s">
        <v>1621</v>
      </c>
      <c r="E365" s="145" t="s">
        <v>1621</v>
      </c>
      <c r="F365" s="131"/>
      <c r="G365" s="131"/>
      <c r="H365" s="131"/>
      <c r="K365" s="124"/>
      <c r="N365" s="124"/>
      <c r="Q365" s="124"/>
      <c r="S365" s="125"/>
      <c r="V365" s="125"/>
      <c r="Y365" s="125"/>
      <c r="AB365" s="126"/>
    </row>
    <row r="366">
      <c r="A366" s="102">
        <f t="shared" si="224"/>
        <v>72</v>
      </c>
      <c r="B366" s="145" t="s">
        <v>1621</v>
      </c>
      <c r="C366" s="145" t="s">
        <v>1621</v>
      </c>
      <c r="D366" s="145" t="s">
        <v>1621</v>
      </c>
      <c r="E366" s="145" t="s">
        <v>1621</v>
      </c>
      <c r="F366" s="131"/>
      <c r="G366" s="131"/>
      <c r="H366" s="131"/>
      <c r="K366" s="124"/>
      <c r="N366" s="124"/>
      <c r="Q366" s="124"/>
      <c r="S366" s="125"/>
      <c r="V366" s="125"/>
      <c r="Y366" s="125"/>
      <c r="AB366" s="126"/>
    </row>
    <row r="367">
      <c r="A367" s="102">
        <f t="shared" si="224"/>
        <v>73</v>
      </c>
      <c r="B367" s="145" t="s">
        <v>1621</v>
      </c>
      <c r="C367" s="145" t="s">
        <v>1621</v>
      </c>
      <c r="D367" s="145" t="s">
        <v>1621</v>
      </c>
      <c r="E367" s="145" t="s">
        <v>1624</v>
      </c>
      <c r="F367" s="131"/>
      <c r="G367" s="131"/>
      <c r="H367" s="131"/>
      <c r="K367" s="124"/>
      <c r="N367" s="124"/>
      <c r="Q367" s="124"/>
      <c r="S367" s="125"/>
      <c r="V367" s="125"/>
      <c r="Y367" s="125"/>
      <c r="AB367" s="126"/>
    </row>
    <row r="368">
      <c r="A368" s="102">
        <f t="shared" si="224"/>
        <v>74</v>
      </c>
      <c r="B368" s="145" t="s">
        <v>1621</v>
      </c>
      <c r="C368" s="145" t="s">
        <v>1621</v>
      </c>
      <c r="D368" s="145" t="s">
        <v>1621</v>
      </c>
      <c r="E368" s="145" t="s">
        <v>1621</v>
      </c>
      <c r="F368" s="131"/>
      <c r="G368" s="131"/>
      <c r="H368" s="131"/>
      <c r="K368" s="124"/>
      <c r="N368" s="124"/>
      <c r="Q368" s="124"/>
      <c r="S368" s="125"/>
      <c r="V368" s="125"/>
      <c r="Y368" s="125"/>
      <c r="AB368" s="126"/>
    </row>
    <row r="369">
      <c r="A369" s="102">
        <f t="shared" si="224"/>
        <v>75</v>
      </c>
      <c r="B369" s="145" t="s">
        <v>1621</v>
      </c>
      <c r="C369" s="145" t="s">
        <v>1624</v>
      </c>
      <c r="D369" s="145" t="s">
        <v>1624</v>
      </c>
      <c r="E369" s="145" t="s">
        <v>1621</v>
      </c>
      <c r="F369" s="146"/>
      <c r="G369" s="146"/>
      <c r="H369" s="146"/>
      <c r="K369" s="124"/>
      <c r="N369" s="124"/>
      <c r="Q369" s="124"/>
      <c r="S369" s="125"/>
      <c r="V369" s="125"/>
      <c r="Y369" s="125"/>
      <c r="AB369" s="126"/>
    </row>
    <row r="370">
      <c r="A370" s="102">
        <f t="shared" si="224"/>
        <v>76</v>
      </c>
      <c r="B370" s="145" t="s">
        <v>1624</v>
      </c>
      <c r="C370" s="145" t="s">
        <v>1621</v>
      </c>
      <c r="D370" s="145" t="s">
        <v>1621</v>
      </c>
      <c r="E370" s="145" t="s">
        <v>1624</v>
      </c>
      <c r="F370" s="131"/>
      <c r="G370" s="131"/>
      <c r="H370" s="131"/>
      <c r="K370" s="124"/>
      <c r="N370" s="124"/>
      <c r="Q370" s="124"/>
      <c r="S370" s="125"/>
      <c r="V370" s="125"/>
      <c r="Y370" s="125"/>
      <c r="AB370" s="126"/>
    </row>
    <row r="371">
      <c r="A371" s="102">
        <f t="shared" si="224"/>
        <v>77</v>
      </c>
      <c r="B371" s="145" t="s">
        <v>1621</v>
      </c>
      <c r="C371" s="145" t="s">
        <v>1621</v>
      </c>
      <c r="D371" s="145" t="s">
        <v>1621</v>
      </c>
      <c r="E371" s="145" t="s">
        <v>1635</v>
      </c>
      <c r="F371" s="131"/>
      <c r="G371" s="131"/>
      <c r="H371" s="131"/>
      <c r="K371" s="124"/>
      <c r="N371" s="124"/>
      <c r="Q371" s="124"/>
      <c r="S371" s="125"/>
      <c r="V371" s="125"/>
      <c r="Y371" s="125"/>
      <c r="AB371" s="126"/>
    </row>
    <row r="372">
      <c r="A372" s="102">
        <f t="shared" si="224"/>
        <v>78</v>
      </c>
      <c r="B372" s="145" t="s">
        <v>1621</v>
      </c>
      <c r="C372" s="145" t="s">
        <v>1624</v>
      </c>
      <c r="D372" s="145" t="s">
        <v>1624</v>
      </c>
      <c r="E372" s="145" t="s">
        <v>1621</v>
      </c>
      <c r="F372" s="131"/>
      <c r="G372" s="131"/>
      <c r="H372" s="131"/>
      <c r="K372" s="124"/>
      <c r="N372" s="124"/>
      <c r="Q372" s="124"/>
      <c r="S372" s="125"/>
      <c r="V372" s="125"/>
      <c r="Y372" s="125"/>
      <c r="AB372" s="126"/>
    </row>
    <row r="373">
      <c r="A373" s="102">
        <f t="shared" si="224"/>
        <v>79</v>
      </c>
      <c r="B373" s="145" t="s">
        <v>1624</v>
      </c>
      <c r="C373" s="145" t="s">
        <v>1624</v>
      </c>
      <c r="D373" s="145" t="s">
        <v>1635</v>
      </c>
      <c r="E373" s="145" t="s">
        <v>1621</v>
      </c>
      <c r="F373" s="131"/>
      <c r="G373" s="131"/>
      <c r="H373" s="131"/>
      <c r="K373" s="124"/>
      <c r="N373" s="124"/>
      <c r="Q373" s="124"/>
      <c r="S373" s="125"/>
      <c r="V373" s="125"/>
      <c r="Y373" s="125"/>
      <c r="AB373" s="126"/>
    </row>
    <row r="374">
      <c r="A374" s="102">
        <f t="shared" si="224"/>
        <v>80</v>
      </c>
      <c r="B374" s="145" t="s">
        <v>1621</v>
      </c>
      <c r="C374" s="145" t="s">
        <v>1621</v>
      </c>
      <c r="D374" s="145" t="s">
        <v>1621</v>
      </c>
      <c r="E374" s="145" t="s">
        <v>1621</v>
      </c>
      <c r="F374" s="131"/>
      <c r="G374" s="131"/>
      <c r="H374" s="131"/>
      <c r="K374" s="124"/>
      <c r="N374" s="124"/>
      <c r="Q374" s="124"/>
      <c r="S374" s="125"/>
      <c r="V374" s="125"/>
      <c r="Y374" s="125"/>
      <c r="AB374" s="126"/>
    </row>
    <row r="375">
      <c r="A375" s="102">
        <f t="shared" si="224"/>
        <v>81</v>
      </c>
      <c r="B375" s="145" t="s">
        <v>1621</v>
      </c>
      <c r="C375" s="145" t="s">
        <v>1621</v>
      </c>
      <c r="D375" s="145" t="s">
        <v>1621</v>
      </c>
      <c r="E375" s="145" t="s">
        <v>1626</v>
      </c>
      <c r="F375" s="131"/>
      <c r="G375" s="131"/>
      <c r="H375" s="131"/>
      <c r="K375" s="124"/>
      <c r="N375" s="124"/>
      <c r="Q375" s="124"/>
      <c r="S375" s="125"/>
      <c r="V375" s="125"/>
      <c r="Y375" s="125"/>
      <c r="AB375" s="126"/>
    </row>
    <row r="376">
      <c r="A376" s="102">
        <f t="shared" si="224"/>
        <v>82</v>
      </c>
      <c r="B376" s="145" t="s">
        <v>1621</v>
      </c>
      <c r="C376" s="145" t="s">
        <v>1621</v>
      </c>
      <c r="D376" s="145" t="s">
        <v>1621</v>
      </c>
      <c r="E376" s="145" t="s">
        <v>1636</v>
      </c>
      <c r="F376" s="131"/>
      <c r="G376" s="131"/>
      <c r="H376" s="131"/>
      <c r="K376" s="124"/>
      <c r="N376" s="124"/>
      <c r="Q376" s="124"/>
      <c r="S376" s="125"/>
      <c r="V376" s="125"/>
      <c r="Y376" s="125"/>
      <c r="AB376" s="126"/>
    </row>
    <row r="377">
      <c r="A377" s="102">
        <f t="shared" si="224"/>
        <v>83</v>
      </c>
      <c r="B377" s="145" t="s">
        <v>1621</v>
      </c>
      <c r="C377" s="145" t="s">
        <v>1626</v>
      </c>
      <c r="D377" s="145" t="s">
        <v>1626</v>
      </c>
      <c r="E377" s="145" t="s">
        <v>1621</v>
      </c>
      <c r="F377" s="131"/>
      <c r="G377" s="131"/>
      <c r="H377" s="131"/>
      <c r="K377" s="124"/>
      <c r="N377" s="124"/>
      <c r="Q377" s="124"/>
      <c r="S377" s="125"/>
      <c r="V377" s="125"/>
      <c r="Y377" s="125"/>
      <c r="AB377" s="126"/>
    </row>
    <row r="378">
      <c r="A378" s="102">
        <f t="shared" si="224"/>
        <v>84</v>
      </c>
      <c r="B378" s="145" t="s">
        <v>1626</v>
      </c>
      <c r="C378" s="145" t="s">
        <v>1621</v>
      </c>
      <c r="D378" s="145" t="s">
        <v>1621</v>
      </c>
      <c r="E378" s="145" t="s">
        <v>1624</v>
      </c>
      <c r="F378" s="131"/>
      <c r="G378" s="131"/>
      <c r="H378" s="131"/>
      <c r="K378" s="124"/>
      <c r="N378" s="124"/>
      <c r="Q378" s="124"/>
      <c r="S378" s="125"/>
      <c r="V378" s="125"/>
      <c r="Y378" s="125"/>
      <c r="AB378" s="126"/>
    </row>
    <row r="379">
      <c r="A379" s="102">
        <f t="shared" si="224"/>
        <v>85</v>
      </c>
      <c r="B379" s="145" t="s">
        <v>1621</v>
      </c>
      <c r="C379" s="145" t="s">
        <v>1621</v>
      </c>
      <c r="D379" s="145" t="s">
        <v>1624</v>
      </c>
      <c r="E379" s="145" t="s">
        <v>1621</v>
      </c>
      <c r="F379" s="131"/>
      <c r="G379" s="131"/>
      <c r="H379" s="131"/>
      <c r="K379" s="124"/>
      <c r="N379" s="124"/>
      <c r="Q379" s="124"/>
      <c r="S379" s="125"/>
      <c r="V379" s="125"/>
      <c r="Y379" s="125"/>
      <c r="AB379" s="126"/>
    </row>
    <row r="380">
      <c r="A380" s="102">
        <f t="shared" si="224"/>
        <v>86</v>
      </c>
      <c r="B380" s="145" t="s">
        <v>1621</v>
      </c>
      <c r="C380" s="145" t="s">
        <v>1624</v>
      </c>
      <c r="D380" s="145" t="s">
        <v>1621</v>
      </c>
      <c r="E380" s="145" t="s">
        <v>1621</v>
      </c>
      <c r="F380" s="131"/>
      <c r="G380" s="131"/>
      <c r="H380" s="131"/>
      <c r="K380" s="124"/>
      <c r="N380" s="124"/>
      <c r="Q380" s="124"/>
      <c r="S380" s="125"/>
      <c r="V380" s="125"/>
      <c r="Y380" s="125"/>
      <c r="AB380" s="126"/>
    </row>
    <row r="381">
      <c r="A381" s="102">
        <f t="shared" si="224"/>
        <v>87</v>
      </c>
      <c r="B381" s="145" t="s">
        <v>1624</v>
      </c>
      <c r="C381" s="145" t="s">
        <v>1621</v>
      </c>
      <c r="D381" s="145" t="s">
        <v>1621</v>
      </c>
      <c r="E381" s="145" t="s">
        <v>1621</v>
      </c>
      <c r="F381" s="131"/>
      <c r="G381" s="131"/>
      <c r="H381" s="131"/>
      <c r="K381" s="124"/>
      <c r="N381" s="124"/>
      <c r="Q381" s="124"/>
      <c r="S381" s="125"/>
      <c r="V381" s="125"/>
      <c r="Y381" s="125"/>
      <c r="AB381" s="126"/>
    </row>
    <row r="382">
      <c r="A382" s="102">
        <f t="shared" si="224"/>
        <v>88</v>
      </c>
      <c r="B382" s="145" t="s">
        <v>1621</v>
      </c>
      <c r="C382" s="145" t="s">
        <v>1621</v>
      </c>
      <c r="D382" s="145" t="s">
        <v>1621</v>
      </c>
      <c r="E382" s="145" t="s">
        <v>1634</v>
      </c>
      <c r="K382" s="124"/>
      <c r="N382" s="124"/>
      <c r="Q382" s="124"/>
      <c r="S382" s="125"/>
      <c r="V382" s="125"/>
      <c r="Y382" s="125"/>
      <c r="AB382" s="126"/>
    </row>
    <row r="383">
      <c r="A383" s="102">
        <f t="shared" si="224"/>
        <v>89</v>
      </c>
      <c r="B383" s="145" t="s">
        <v>1621</v>
      </c>
      <c r="C383" s="145" t="s">
        <v>1621</v>
      </c>
      <c r="D383" s="145" t="s">
        <v>1634</v>
      </c>
      <c r="E383" s="145" t="s">
        <v>1621</v>
      </c>
      <c r="K383" s="124"/>
      <c r="N383" s="124"/>
      <c r="Q383" s="124"/>
      <c r="S383" s="125"/>
      <c r="V383" s="125"/>
      <c r="Y383" s="125"/>
      <c r="AB383" s="126"/>
    </row>
    <row r="384">
      <c r="A384" s="102">
        <f t="shared" si="224"/>
        <v>90</v>
      </c>
      <c r="B384" s="145" t="s">
        <v>1621</v>
      </c>
      <c r="C384" s="145" t="s">
        <v>1621</v>
      </c>
      <c r="D384" s="145" t="s">
        <v>1621</v>
      </c>
      <c r="E384" s="145" t="s">
        <v>1621</v>
      </c>
      <c r="K384" s="124"/>
      <c r="N384" s="124"/>
      <c r="Q384" s="124"/>
      <c r="S384" s="125"/>
      <c r="V384" s="125"/>
      <c r="Y384" s="125"/>
      <c r="AB384" s="126"/>
    </row>
    <row r="385">
      <c r="A385" s="102">
        <f t="shared" si="224"/>
        <v>91</v>
      </c>
      <c r="B385" s="145" t="s">
        <v>1621</v>
      </c>
      <c r="C385" s="145" t="s">
        <v>1621</v>
      </c>
      <c r="D385" s="145" t="s">
        <v>1621</v>
      </c>
      <c r="E385" s="145" t="s">
        <v>1624</v>
      </c>
      <c r="K385" s="124"/>
      <c r="N385" s="124"/>
      <c r="Q385" s="124"/>
      <c r="S385" s="125"/>
      <c r="V385" s="125"/>
      <c r="Y385" s="125"/>
      <c r="AB385" s="126"/>
    </row>
    <row r="386">
      <c r="A386" s="102">
        <f t="shared" si="224"/>
        <v>92</v>
      </c>
      <c r="B386" s="145" t="s">
        <v>1624</v>
      </c>
      <c r="C386" s="145" t="s">
        <v>1621</v>
      </c>
      <c r="D386" s="145" t="s">
        <v>1624</v>
      </c>
      <c r="E386" s="145" t="s">
        <v>1624</v>
      </c>
      <c r="K386" s="124"/>
      <c r="N386" s="124"/>
      <c r="Q386" s="124"/>
      <c r="S386" s="125"/>
      <c r="V386" s="125"/>
      <c r="Y386" s="125"/>
      <c r="AB386" s="126"/>
    </row>
    <row r="387">
      <c r="A387" s="102">
        <f t="shared" si="224"/>
        <v>93</v>
      </c>
      <c r="B387" s="145" t="s">
        <v>1621</v>
      </c>
      <c r="C387" s="145" t="s">
        <v>1624</v>
      </c>
      <c r="D387" s="145" t="s">
        <v>1624</v>
      </c>
      <c r="E387" s="145" t="s">
        <v>1621</v>
      </c>
      <c r="K387" s="124"/>
      <c r="N387" s="124"/>
      <c r="Q387" s="124"/>
      <c r="S387" s="125"/>
      <c r="V387" s="125"/>
      <c r="Y387" s="125"/>
      <c r="AB387" s="126"/>
    </row>
    <row r="388">
      <c r="A388" s="102">
        <f t="shared" si="224"/>
        <v>94</v>
      </c>
      <c r="B388" s="145" t="s">
        <v>1621</v>
      </c>
      <c r="C388" s="145" t="s">
        <v>1624</v>
      </c>
      <c r="D388" s="145" t="s">
        <v>1621</v>
      </c>
      <c r="E388" s="145" t="s">
        <v>1621</v>
      </c>
      <c r="K388" s="124"/>
      <c r="N388" s="124"/>
      <c r="Q388" s="124"/>
      <c r="S388" s="125"/>
      <c r="V388" s="125"/>
      <c r="Y388" s="125"/>
      <c r="AB388" s="126"/>
    </row>
    <row r="389">
      <c r="A389" s="102">
        <f t="shared" si="224"/>
        <v>95</v>
      </c>
      <c r="B389" s="145" t="s">
        <v>1624</v>
      </c>
      <c r="C389" s="145" t="s">
        <v>1621</v>
      </c>
      <c r="D389" s="145" t="s">
        <v>1621</v>
      </c>
      <c r="E389" s="145" t="s">
        <v>1624</v>
      </c>
      <c r="K389" s="124"/>
      <c r="N389" s="124"/>
      <c r="Q389" s="124"/>
      <c r="S389" s="125"/>
      <c r="V389" s="125"/>
      <c r="Y389" s="125"/>
      <c r="AB389" s="126"/>
    </row>
    <row r="390">
      <c r="A390" s="102">
        <f t="shared" si="224"/>
        <v>96</v>
      </c>
      <c r="B390" s="145" t="s">
        <v>1621</v>
      </c>
      <c r="C390" s="145" t="s">
        <v>1621</v>
      </c>
      <c r="D390" s="145" t="s">
        <v>1624</v>
      </c>
      <c r="E390" s="145" t="s">
        <v>1621</v>
      </c>
      <c r="K390" s="124"/>
      <c r="N390" s="124"/>
      <c r="Q390" s="124"/>
      <c r="S390" s="125"/>
      <c r="V390" s="125"/>
      <c r="Y390" s="125"/>
      <c r="AB390" s="126"/>
    </row>
    <row r="391">
      <c r="A391" s="102">
        <f t="shared" si="224"/>
        <v>97</v>
      </c>
      <c r="B391" s="145" t="s">
        <v>1621</v>
      </c>
      <c r="C391" s="145" t="s">
        <v>1624</v>
      </c>
      <c r="D391" s="145" t="s">
        <v>1621</v>
      </c>
      <c r="E391" s="145" t="s">
        <v>1621</v>
      </c>
      <c r="K391" s="124"/>
      <c r="N391" s="124"/>
      <c r="Q391" s="124"/>
      <c r="S391" s="125"/>
      <c r="V391" s="125"/>
      <c r="Y391" s="125"/>
      <c r="AB391" s="126"/>
    </row>
    <row r="392">
      <c r="A392" s="102">
        <f t="shared" si="224"/>
        <v>98</v>
      </c>
      <c r="B392" s="145" t="s">
        <v>1621</v>
      </c>
      <c r="C392" s="145" t="s">
        <v>1621</v>
      </c>
      <c r="D392" s="145" t="s">
        <v>1621</v>
      </c>
      <c r="E392" s="145" t="s">
        <v>1621</v>
      </c>
      <c r="K392" s="124"/>
      <c r="N392" s="124"/>
      <c r="Q392" s="124"/>
      <c r="S392" s="125"/>
      <c r="V392" s="125"/>
      <c r="Y392" s="125"/>
      <c r="AB392" s="126"/>
    </row>
    <row r="393">
      <c r="A393" s="102">
        <f t="shared" si="224"/>
        <v>99</v>
      </c>
      <c r="B393" s="145" t="s">
        <v>1624</v>
      </c>
      <c r="C393" s="145" t="s">
        <v>1621</v>
      </c>
      <c r="D393" s="145" t="s">
        <v>1621</v>
      </c>
      <c r="E393" s="145" t="s">
        <v>1621</v>
      </c>
      <c r="K393" s="124"/>
      <c r="N393" s="124"/>
      <c r="Q393" s="124"/>
      <c r="S393" s="125"/>
      <c r="V393" s="125"/>
      <c r="Y393" s="125"/>
      <c r="AB393" s="126"/>
    </row>
    <row r="394">
      <c r="A394" s="102">
        <f t="shared" si="224"/>
        <v>100</v>
      </c>
      <c r="B394" s="145" t="s">
        <v>1621</v>
      </c>
      <c r="C394" s="145" t="s">
        <v>1621</v>
      </c>
      <c r="D394" s="145" t="s">
        <v>1621</v>
      </c>
      <c r="E394" s="145" t="s">
        <v>1624</v>
      </c>
      <c r="K394" s="124"/>
      <c r="N394" s="124"/>
      <c r="Q394" s="124"/>
      <c r="S394" s="125"/>
      <c r="V394" s="125"/>
      <c r="Y394" s="125"/>
      <c r="AB394" s="126"/>
    </row>
    <row r="395">
      <c r="A395" s="102">
        <f t="shared" si="224"/>
        <v>101</v>
      </c>
      <c r="B395" s="145" t="s">
        <v>1621</v>
      </c>
      <c r="C395" s="145" t="s">
        <v>1621</v>
      </c>
      <c r="D395" s="145" t="s">
        <v>1624</v>
      </c>
      <c r="E395" s="145" t="s">
        <v>1621</v>
      </c>
      <c r="K395" s="124"/>
      <c r="N395" s="124"/>
      <c r="Q395" s="124"/>
      <c r="S395" s="125"/>
      <c r="V395" s="125"/>
      <c r="Y395" s="125"/>
      <c r="AB395" s="126"/>
    </row>
    <row r="396">
      <c r="A396" s="102">
        <f t="shared" si="224"/>
        <v>102</v>
      </c>
      <c r="B396" s="145" t="s">
        <v>1621</v>
      </c>
      <c r="C396" s="145" t="s">
        <v>1624</v>
      </c>
      <c r="D396" s="145" t="s">
        <v>1621</v>
      </c>
      <c r="E396" s="145" t="s">
        <v>1634</v>
      </c>
      <c r="K396" s="124"/>
      <c r="N396" s="124"/>
      <c r="Q396" s="124"/>
      <c r="S396" s="125"/>
      <c r="V396" s="125"/>
      <c r="Y396" s="125"/>
      <c r="AB396" s="126"/>
    </row>
    <row r="397">
      <c r="A397" s="102">
        <f t="shared" si="224"/>
        <v>103</v>
      </c>
      <c r="B397" s="145" t="s">
        <v>1621</v>
      </c>
      <c r="C397" s="145" t="s">
        <v>1621</v>
      </c>
      <c r="D397" s="145" t="s">
        <v>1634</v>
      </c>
      <c r="E397" s="145" t="s">
        <v>1621</v>
      </c>
      <c r="K397" s="124"/>
      <c r="N397" s="124"/>
      <c r="Q397" s="124"/>
      <c r="S397" s="125"/>
      <c r="V397" s="125"/>
      <c r="Y397" s="125"/>
      <c r="AB397" s="126"/>
    </row>
    <row r="398">
      <c r="A398" s="102">
        <f t="shared" si="224"/>
        <v>104</v>
      </c>
      <c r="B398" s="145" t="s">
        <v>1624</v>
      </c>
      <c r="C398" s="145" t="s">
        <v>1621</v>
      </c>
      <c r="D398" s="145" t="s">
        <v>1621</v>
      </c>
      <c r="E398" s="145" t="s">
        <v>1621</v>
      </c>
      <c r="K398" s="124"/>
      <c r="N398" s="124"/>
      <c r="Q398" s="124"/>
      <c r="S398" s="125"/>
      <c r="V398" s="125"/>
      <c r="Y398" s="125"/>
      <c r="AB398" s="126"/>
    </row>
    <row r="399">
      <c r="A399" s="102">
        <f t="shared" si="224"/>
        <v>105</v>
      </c>
      <c r="B399" s="145" t="s">
        <v>1621</v>
      </c>
      <c r="C399" s="145" t="s">
        <v>1621</v>
      </c>
      <c r="D399" s="145" t="s">
        <v>1621</v>
      </c>
      <c r="E399" s="145" t="s">
        <v>1621</v>
      </c>
      <c r="K399" s="124"/>
      <c r="N399" s="124"/>
      <c r="Q399" s="124"/>
      <c r="S399" s="125"/>
      <c r="V399" s="125"/>
      <c r="Y399" s="125"/>
      <c r="AB399" s="126"/>
    </row>
    <row r="400">
      <c r="A400" s="102">
        <f t="shared" si="224"/>
        <v>106</v>
      </c>
      <c r="B400" s="145" t="s">
        <v>1624</v>
      </c>
      <c r="C400" s="145" t="s">
        <v>1621</v>
      </c>
      <c r="D400" s="145" t="s">
        <v>1621</v>
      </c>
      <c r="E400" s="145" t="s">
        <v>1624</v>
      </c>
      <c r="K400" s="124"/>
      <c r="N400" s="124"/>
      <c r="Q400" s="124"/>
      <c r="S400" s="125"/>
      <c r="V400" s="125"/>
      <c r="Y400" s="125"/>
      <c r="AB400" s="126"/>
    </row>
    <row r="401">
      <c r="A401" s="102">
        <f t="shared" si="224"/>
        <v>107</v>
      </c>
      <c r="B401" s="145" t="s">
        <v>1621</v>
      </c>
      <c r="C401" s="145" t="s">
        <v>1621</v>
      </c>
      <c r="D401" s="145" t="s">
        <v>1624</v>
      </c>
      <c r="E401" s="145" t="s">
        <v>1635</v>
      </c>
      <c r="K401" s="124"/>
      <c r="N401" s="124"/>
      <c r="Q401" s="124"/>
      <c r="S401" s="125"/>
      <c r="V401" s="125"/>
      <c r="Y401" s="125"/>
      <c r="AB401" s="126"/>
    </row>
    <row r="402">
      <c r="A402" s="102">
        <f t="shared" si="224"/>
        <v>108</v>
      </c>
      <c r="B402" s="145" t="s">
        <v>1621</v>
      </c>
      <c r="C402" s="145" t="s">
        <v>1624</v>
      </c>
      <c r="D402" s="145" t="s">
        <v>1624</v>
      </c>
      <c r="E402" s="145" t="s">
        <v>1621</v>
      </c>
      <c r="K402" s="124"/>
      <c r="N402" s="124"/>
      <c r="Q402" s="124"/>
      <c r="S402" s="125"/>
      <c r="V402" s="125"/>
      <c r="Y402" s="125"/>
      <c r="AB402" s="126"/>
    </row>
    <row r="403">
      <c r="A403" s="102">
        <f t="shared" si="224"/>
        <v>109</v>
      </c>
      <c r="B403" s="145" t="s">
        <v>1621</v>
      </c>
      <c r="C403" s="145" t="s">
        <v>1624</v>
      </c>
      <c r="D403" s="145" t="s">
        <v>1621</v>
      </c>
      <c r="E403" s="145" t="s">
        <v>1621</v>
      </c>
      <c r="K403" s="124"/>
      <c r="N403" s="124"/>
      <c r="Q403" s="124"/>
      <c r="S403" s="125"/>
      <c r="V403" s="125"/>
      <c r="Y403" s="125"/>
      <c r="AB403" s="126"/>
    </row>
    <row r="404">
      <c r="A404" s="102">
        <f t="shared" si="224"/>
        <v>110</v>
      </c>
      <c r="B404" s="145" t="s">
        <v>1621</v>
      </c>
      <c r="C404" s="145" t="s">
        <v>1621</v>
      </c>
      <c r="D404" s="145" t="s">
        <v>1621</v>
      </c>
      <c r="E404" s="145" t="s">
        <v>1621</v>
      </c>
      <c r="K404" s="124"/>
      <c r="N404" s="124"/>
      <c r="Q404" s="124"/>
      <c r="S404" s="125"/>
      <c r="V404" s="125"/>
      <c r="Y404" s="125"/>
      <c r="AB404" s="126"/>
    </row>
    <row r="405">
      <c r="A405" s="102">
        <f t="shared" si="224"/>
        <v>111</v>
      </c>
      <c r="B405" s="145" t="s">
        <v>1624</v>
      </c>
      <c r="C405" s="145" t="s">
        <v>1621</v>
      </c>
      <c r="D405" s="145" t="s">
        <v>1621</v>
      </c>
      <c r="E405" s="145" t="s">
        <v>1624</v>
      </c>
      <c r="K405" s="124"/>
      <c r="N405" s="124"/>
      <c r="Q405" s="124"/>
      <c r="S405" s="125"/>
      <c r="V405" s="125"/>
      <c r="Y405" s="125"/>
      <c r="AB405" s="126"/>
    </row>
    <row r="406">
      <c r="A406" s="102">
        <f t="shared" si="224"/>
        <v>112</v>
      </c>
      <c r="B406" s="145" t="s">
        <v>1621</v>
      </c>
      <c r="C406" s="145" t="s">
        <v>1621</v>
      </c>
      <c r="D406" s="145" t="s">
        <v>1624</v>
      </c>
      <c r="E406" s="145" t="s">
        <v>1621</v>
      </c>
      <c r="K406" s="124"/>
      <c r="N406" s="124"/>
      <c r="Q406" s="124"/>
      <c r="S406" s="125"/>
      <c r="V406" s="125"/>
      <c r="Y406" s="125"/>
      <c r="AB406" s="126"/>
    </row>
    <row r="407">
      <c r="A407" s="102">
        <f t="shared" si="224"/>
        <v>113</v>
      </c>
      <c r="B407" s="145" t="s">
        <v>1621</v>
      </c>
      <c r="C407" s="145" t="s">
        <v>1624</v>
      </c>
      <c r="D407" s="145" t="s">
        <v>1621</v>
      </c>
      <c r="E407" s="145" t="s">
        <v>1621</v>
      </c>
      <c r="K407" s="124"/>
      <c r="N407" s="124"/>
      <c r="Q407" s="124"/>
      <c r="S407" s="125"/>
      <c r="V407" s="125"/>
      <c r="Y407" s="125"/>
      <c r="AB407" s="126"/>
    </row>
    <row r="408">
      <c r="A408" s="102">
        <f t="shared" si="224"/>
        <v>114</v>
      </c>
      <c r="B408" s="145" t="s">
        <v>1621</v>
      </c>
      <c r="C408" s="145" t="s">
        <v>1621</v>
      </c>
      <c r="D408" s="145" t="s">
        <v>1621</v>
      </c>
      <c r="E408" s="145" t="s">
        <v>1624</v>
      </c>
      <c r="K408" s="124"/>
      <c r="N408" s="124"/>
      <c r="Q408" s="124"/>
      <c r="S408" s="125"/>
      <c r="V408" s="125"/>
      <c r="Y408" s="125"/>
      <c r="AB408" s="126"/>
    </row>
    <row r="409">
      <c r="A409" s="102">
        <f t="shared" si="224"/>
        <v>115</v>
      </c>
      <c r="B409" s="145" t="s">
        <v>1621</v>
      </c>
      <c r="C409" s="145" t="s">
        <v>1621</v>
      </c>
      <c r="D409" s="145" t="s">
        <v>1624</v>
      </c>
      <c r="E409" s="145" t="s">
        <v>1621</v>
      </c>
      <c r="K409" s="124"/>
      <c r="N409" s="124"/>
      <c r="Q409" s="124"/>
      <c r="S409" s="125"/>
      <c r="V409" s="125"/>
      <c r="Y409" s="125"/>
      <c r="AB409" s="126"/>
    </row>
    <row r="410">
      <c r="A410" s="102">
        <f t="shared" si="224"/>
        <v>116</v>
      </c>
      <c r="B410" s="145" t="s">
        <v>1624</v>
      </c>
      <c r="C410" s="145" t="s">
        <v>1624</v>
      </c>
      <c r="D410" s="145" t="s">
        <v>1621</v>
      </c>
      <c r="E410" s="145" t="s">
        <v>1621</v>
      </c>
      <c r="K410" s="124"/>
      <c r="N410" s="124"/>
      <c r="Q410" s="124"/>
      <c r="S410" s="125"/>
      <c r="V410" s="125"/>
      <c r="Y410" s="125"/>
      <c r="AB410" s="126"/>
    </row>
    <row r="411">
      <c r="A411" s="102">
        <f t="shared" si="224"/>
        <v>117</v>
      </c>
      <c r="B411" s="145" t="s">
        <v>1621</v>
      </c>
      <c r="C411" s="145" t="s">
        <v>1621</v>
      </c>
      <c r="D411" s="145" t="s">
        <v>1621</v>
      </c>
      <c r="E411" s="145" t="s">
        <v>1621</v>
      </c>
      <c r="K411" s="124"/>
      <c r="N411" s="124"/>
      <c r="Q411" s="124"/>
      <c r="S411" s="125"/>
      <c r="V411" s="125"/>
      <c r="Y411" s="125"/>
      <c r="AB411" s="126"/>
    </row>
    <row r="412">
      <c r="A412" s="102">
        <f t="shared" si="224"/>
        <v>118</v>
      </c>
      <c r="B412" s="145" t="s">
        <v>1621</v>
      </c>
      <c r="C412" s="145" t="s">
        <v>1621</v>
      </c>
      <c r="D412" s="145" t="s">
        <v>1621</v>
      </c>
      <c r="E412" s="145" t="s">
        <v>1621</v>
      </c>
      <c r="K412" s="124"/>
      <c r="N412" s="124"/>
      <c r="Q412" s="124"/>
      <c r="S412" s="125"/>
      <c r="V412" s="125"/>
      <c r="Y412" s="125"/>
      <c r="AB412" s="126"/>
    </row>
    <row r="413">
      <c r="A413" s="102">
        <f t="shared" si="224"/>
        <v>119</v>
      </c>
      <c r="B413" s="145" t="s">
        <v>1624</v>
      </c>
      <c r="C413" s="145" t="s">
        <v>1621</v>
      </c>
      <c r="D413" s="145" t="s">
        <v>1621</v>
      </c>
      <c r="E413" s="145" t="s">
        <v>1634</v>
      </c>
      <c r="K413" s="124"/>
      <c r="N413" s="124"/>
      <c r="Q413" s="124"/>
      <c r="S413" s="125"/>
      <c r="V413" s="125"/>
      <c r="Y413" s="125"/>
      <c r="AB413" s="126"/>
    </row>
    <row r="414">
      <c r="A414" s="102">
        <f t="shared" si="224"/>
        <v>120</v>
      </c>
      <c r="B414" s="145" t="s">
        <v>1621</v>
      </c>
      <c r="C414" s="145" t="s">
        <v>1621</v>
      </c>
      <c r="D414" s="145" t="s">
        <v>1621</v>
      </c>
      <c r="E414" s="145" t="s">
        <v>1621</v>
      </c>
      <c r="K414" s="124"/>
      <c r="N414" s="124"/>
      <c r="Q414" s="124"/>
      <c r="S414" s="125"/>
      <c r="V414" s="125"/>
      <c r="Y414" s="125"/>
      <c r="AB414" s="126"/>
    </row>
    <row r="415">
      <c r="A415" s="102">
        <f t="shared" si="224"/>
        <v>121</v>
      </c>
      <c r="B415" s="145" t="s">
        <v>1621</v>
      </c>
      <c r="C415" s="145" t="s">
        <v>1621</v>
      </c>
      <c r="D415" s="145" t="s">
        <v>1621</v>
      </c>
      <c r="E415" s="145" t="s">
        <v>1621</v>
      </c>
      <c r="K415" s="124"/>
      <c r="N415" s="124"/>
      <c r="Q415" s="124"/>
      <c r="S415" s="125"/>
      <c r="V415" s="125"/>
      <c r="Y415" s="125"/>
      <c r="AB415" s="126"/>
    </row>
    <row r="416">
      <c r="A416" s="102">
        <f t="shared" si="224"/>
        <v>122</v>
      </c>
      <c r="B416" s="145" t="s">
        <v>1621</v>
      </c>
      <c r="C416" s="145" t="s">
        <v>1621</v>
      </c>
      <c r="D416" s="145" t="s">
        <v>1621</v>
      </c>
      <c r="E416" s="145" t="s">
        <v>1624</v>
      </c>
      <c r="K416" s="124"/>
      <c r="N416" s="124"/>
      <c r="Q416" s="124"/>
      <c r="S416" s="125"/>
      <c r="V416" s="125"/>
      <c r="Y416" s="125"/>
      <c r="AB416" s="126"/>
    </row>
    <row r="417">
      <c r="A417" s="102">
        <f t="shared" si="224"/>
        <v>123</v>
      </c>
      <c r="B417" s="145" t="s">
        <v>1621</v>
      </c>
      <c r="C417" s="145" t="s">
        <v>1621</v>
      </c>
      <c r="D417" s="145" t="s">
        <v>1624</v>
      </c>
      <c r="E417" s="145" t="s">
        <v>1635</v>
      </c>
      <c r="K417" s="124"/>
      <c r="N417" s="124"/>
      <c r="Q417" s="124"/>
      <c r="S417" s="125"/>
      <c r="V417" s="125"/>
      <c r="Y417" s="125"/>
      <c r="AB417" s="126"/>
    </row>
    <row r="418">
      <c r="A418" s="102">
        <f t="shared" si="224"/>
        <v>124</v>
      </c>
      <c r="B418" s="145" t="s">
        <v>1624</v>
      </c>
      <c r="C418" s="145" t="s">
        <v>1624</v>
      </c>
      <c r="D418" s="145" t="s">
        <v>1635</v>
      </c>
      <c r="E418" s="145" t="s">
        <v>1621</v>
      </c>
      <c r="K418" s="124"/>
      <c r="N418" s="124"/>
      <c r="Q418" s="124"/>
      <c r="S418" s="125"/>
      <c r="V418" s="125"/>
      <c r="Y418" s="125"/>
      <c r="AB418" s="126"/>
    </row>
    <row r="419">
      <c r="A419" s="102">
        <f t="shared" si="224"/>
        <v>125</v>
      </c>
      <c r="B419" s="145" t="s">
        <v>1621</v>
      </c>
      <c r="C419" s="145" t="s">
        <v>1635</v>
      </c>
      <c r="D419" s="145" t="s">
        <v>1621</v>
      </c>
      <c r="E419" s="145" t="s">
        <v>1621</v>
      </c>
      <c r="K419" s="124"/>
      <c r="N419" s="124"/>
      <c r="Q419" s="124"/>
      <c r="S419" s="125"/>
      <c r="V419" s="125"/>
      <c r="Y419" s="125"/>
      <c r="AB419" s="126"/>
    </row>
    <row r="420">
      <c r="A420" s="102">
        <f t="shared" si="224"/>
        <v>126</v>
      </c>
      <c r="B420" s="145" t="s">
        <v>1621</v>
      </c>
      <c r="C420" s="145" t="s">
        <v>1621</v>
      </c>
      <c r="D420" s="145" t="s">
        <v>1621</v>
      </c>
      <c r="E420" s="145" t="s">
        <v>1621</v>
      </c>
      <c r="K420" s="124"/>
      <c r="N420" s="124"/>
      <c r="Q420" s="124"/>
      <c r="S420" s="125"/>
      <c r="V420" s="125"/>
      <c r="Y420" s="125"/>
      <c r="AB420" s="126"/>
    </row>
    <row r="421">
      <c r="A421" s="102">
        <f t="shared" si="224"/>
        <v>127</v>
      </c>
      <c r="B421" s="145" t="s">
        <v>1624</v>
      </c>
      <c r="C421" s="145" t="s">
        <v>1621</v>
      </c>
      <c r="D421" s="145" t="s">
        <v>1621</v>
      </c>
      <c r="E421" s="145" t="s">
        <v>1626</v>
      </c>
      <c r="K421" s="124"/>
      <c r="N421" s="124"/>
      <c r="Q421" s="124"/>
      <c r="S421" s="125"/>
      <c r="V421" s="125"/>
      <c r="Y421" s="125"/>
      <c r="AB421" s="126"/>
    </row>
    <row r="422">
      <c r="A422" s="102">
        <f t="shared" si="224"/>
        <v>128</v>
      </c>
      <c r="B422" s="145" t="s">
        <v>1621</v>
      </c>
      <c r="C422" s="145" t="s">
        <v>1621</v>
      </c>
      <c r="D422" s="145" t="s">
        <v>1626</v>
      </c>
      <c r="E422" s="145" t="s">
        <v>1621</v>
      </c>
      <c r="K422" s="124"/>
      <c r="N422" s="124"/>
      <c r="Q422" s="124"/>
      <c r="S422" s="125"/>
      <c r="V422" s="125"/>
      <c r="Y422" s="125"/>
      <c r="AB422" s="126"/>
    </row>
    <row r="423">
      <c r="A423" s="102">
        <f t="shared" si="224"/>
        <v>129</v>
      </c>
      <c r="B423" s="145" t="s">
        <v>1621</v>
      </c>
      <c r="C423" s="145" t="s">
        <v>1626</v>
      </c>
      <c r="D423" s="145" t="s">
        <v>1621</v>
      </c>
      <c r="E423" s="145" t="s">
        <v>1621</v>
      </c>
      <c r="K423" s="124"/>
      <c r="N423" s="124"/>
      <c r="Q423" s="124"/>
      <c r="S423" s="125"/>
      <c r="V423" s="125"/>
      <c r="Y423" s="125"/>
      <c r="AB423" s="126"/>
    </row>
    <row r="424">
      <c r="A424" s="102">
        <f t="shared" si="224"/>
        <v>130</v>
      </c>
      <c r="B424" s="145" t="s">
        <v>1621</v>
      </c>
      <c r="C424" s="145" t="s">
        <v>1621</v>
      </c>
      <c r="D424" s="145" t="s">
        <v>1621</v>
      </c>
      <c r="E424" s="145" t="s">
        <v>1624</v>
      </c>
      <c r="K424" s="124"/>
      <c r="N424" s="124"/>
      <c r="Q424" s="124"/>
      <c r="S424" s="125"/>
      <c r="V424" s="125"/>
      <c r="Y424" s="125"/>
      <c r="AB424" s="126"/>
    </row>
    <row r="425">
      <c r="A425" s="102">
        <f t="shared" si="224"/>
        <v>131</v>
      </c>
      <c r="B425" s="145" t="s">
        <v>1621</v>
      </c>
      <c r="C425" s="145" t="s">
        <v>1621</v>
      </c>
      <c r="D425" s="145" t="s">
        <v>1624</v>
      </c>
      <c r="E425" s="145" t="s">
        <v>1621</v>
      </c>
      <c r="K425" s="124"/>
      <c r="N425" s="124"/>
      <c r="Q425" s="124"/>
      <c r="S425" s="125"/>
      <c r="V425" s="125"/>
      <c r="Y425" s="125"/>
      <c r="AB425" s="126"/>
    </row>
    <row r="426">
      <c r="A426" s="102">
        <f t="shared" si="224"/>
        <v>132</v>
      </c>
      <c r="B426" s="145" t="s">
        <v>1626</v>
      </c>
      <c r="C426" s="145" t="s">
        <v>1624</v>
      </c>
      <c r="D426" s="145" t="s">
        <v>1621</v>
      </c>
      <c r="E426" s="145" t="s">
        <v>1621</v>
      </c>
      <c r="K426" s="124"/>
      <c r="N426" s="124"/>
      <c r="Q426" s="124"/>
      <c r="S426" s="125"/>
      <c r="V426" s="125"/>
      <c r="Y426" s="125"/>
      <c r="AB426" s="126"/>
    </row>
    <row r="427">
      <c r="A427" s="102">
        <f t="shared" si="224"/>
        <v>133</v>
      </c>
      <c r="B427" s="145" t="s">
        <v>1621</v>
      </c>
      <c r="C427" s="145" t="s">
        <v>1621</v>
      </c>
      <c r="D427" s="145" t="s">
        <v>1621</v>
      </c>
      <c r="E427" s="145" t="s">
        <v>1624</v>
      </c>
      <c r="K427" s="124"/>
      <c r="N427" s="124"/>
      <c r="Q427" s="124"/>
      <c r="S427" s="125"/>
      <c r="V427" s="125"/>
      <c r="Y427" s="125"/>
      <c r="AB427" s="126"/>
    </row>
    <row r="428">
      <c r="A428" s="102">
        <f t="shared" si="224"/>
        <v>134</v>
      </c>
      <c r="B428" s="145" t="s">
        <v>1621</v>
      </c>
      <c r="C428" s="145" t="s">
        <v>1621</v>
      </c>
      <c r="D428" s="145" t="s">
        <v>1621</v>
      </c>
      <c r="E428" s="145" t="s">
        <v>1621</v>
      </c>
      <c r="K428" s="124"/>
      <c r="N428" s="124"/>
      <c r="Q428" s="124"/>
      <c r="S428" s="125"/>
      <c r="V428" s="125"/>
      <c r="Y428" s="125"/>
      <c r="AB428" s="126"/>
    </row>
    <row r="429">
      <c r="A429" s="102">
        <f t="shared" si="224"/>
        <v>135</v>
      </c>
      <c r="B429" s="145" t="s">
        <v>1624</v>
      </c>
      <c r="C429" s="145" t="s">
        <v>1621</v>
      </c>
      <c r="D429" s="145" t="s">
        <v>1624</v>
      </c>
      <c r="E429" s="145" t="s">
        <v>1621</v>
      </c>
      <c r="K429" s="124"/>
      <c r="N429" s="124"/>
      <c r="Q429" s="124"/>
      <c r="S429" s="125"/>
      <c r="V429" s="125"/>
      <c r="Y429" s="125"/>
      <c r="AB429" s="126"/>
    </row>
    <row r="430">
      <c r="A430" s="102">
        <f t="shared" si="224"/>
        <v>136</v>
      </c>
      <c r="B430" s="145" t="s">
        <v>1621</v>
      </c>
      <c r="C430" s="145" t="s">
        <v>1624</v>
      </c>
      <c r="D430" s="145" t="s">
        <v>1621</v>
      </c>
      <c r="E430" s="145" t="s">
        <v>1621</v>
      </c>
      <c r="K430" s="124"/>
      <c r="N430" s="124"/>
      <c r="Q430" s="124"/>
      <c r="S430" s="125"/>
      <c r="V430" s="125"/>
      <c r="Y430" s="125"/>
      <c r="AB430" s="126"/>
    </row>
    <row r="431">
      <c r="A431" s="102">
        <f t="shared" si="224"/>
        <v>137</v>
      </c>
      <c r="B431" s="145" t="s">
        <v>1621</v>
      </c>
      <c r="C431" s="145" t="s">
        <v>1621</v>
      </c>
      <c r="D431" s="145" t="s">
        <v>1621</v>
      </c>
      <c r="E431" s="145" t="s">
        <v>1624</v>
      </c>
      <c r="K431" s="124"/>
      <c r="N431" s="124"/>
      <c r="Q431" s="124"/>
      <c r="S431" s="125"/>
      <c r="V431" s="125"/>
      <c r="Y431" s="125"/>
      <c r="AB431" s="126"/>
    </row>
    <row r="432">
      <c r="A432" s="102">
        <f t="shared" si="224"/>
        <v>138</v>
      </c>
      <c r="B432" s="145" t="s">
        <v>1621</v>
      </c>
      <c r="C432" s="145" t="s">
        <v>1621</v>
      </c>
      <c r="D432" s="145" t="s">
        <v>1621</v>
      </c>
      <c r="E432" s="145" t="s">
        <v>1621</v>
      </c>
      <c r="K432" s="124"/>
      <c r="N432" s="124"/>
      <c r="Q432" s="124"/>
      <c r="S432" s="125"/>
      <c r="V432" s="125"/>
      <c r="Y432" s="125"/>
      <c r="AB432" s="126"/>
    </row>
    <row r="433">
      <c r="A433" s="102">
        <f t="shared" si="224"/>
        <v>139</v>
      </c>
      <c r="B433" s="145" t="s">
        <v>1624</v>
      </c>
      <c r="C433" s="145" t="s">
        <v>1621</v>
      </c>
      <c r="D433" s="145" t="s">
        <v>1624</v>
      </c>
      <c r="E433" s="145" t="s">
        <v>1624</v>
      </c>
      <c r="K433" s="124"/>
      <c r="N433" s="124"/>
      <c r="Q433" s="124"/>
      <c r="S433" s="125"/>
      <c r="V433" s="125"/>
      <c r="Y433" s="125"/>
      <c r="AB433" s="126"/>
    </row>
    <row r="434">
      <c r="A434" s="102">
        <f t="shared" si="224"/>
        <v>140</v>
      </c>
      <c r="B434" s="145" t="s">
        <v>1621</v>
      </c>
      <c r="C434" s="145" t="s">
        <v>1624</v>
      </c>
      <c r="D434" s="145" t="s">
        <v>1621</v>
      </c>
      <c r="E434" s="145" t="s">
        <v>1621</v>
      </c>
      <c r="K434" s="124"/>
      <c r="N434" s="124"/>
      <c r="Q434" s="124"/>
      <c r="S434" s="125"/>
      <c r="V434" s="125"/>
      <c r="Y434" s="125"/>
      <c r="AB434" s="126"/>
    </row>
    <row r="435">
      <c r="A435" s="102">
        <f t="shared" si="224"/>
        <v>141</v>
      </c>
      <c r="B435" s="145" t="s">
        <v>1621</v>
      </c>
      <c r="C435" s="145" t="s">
        <v>1624</v>
      </c>
      <c r="D435" s="145" t="s">
        <v>1624</v>
      </c>
      <c r="E435" s="145" t="s">
        <v>1621</v>
      </c>
      <c r="K435" s="124"/>
      <c r="N435" s="124"/>
      <c r="Q435" s="124"/>
      <c r="S435" s="125"/>
      <c r="V435" s="125"/>
      <c r="Y435" s="125"/>
      <c r="AB435" s="126"/>
    </row>
    <row r="436">
      <c r="A436" s="102">
        <f t="shared" si="224"/>
        <v>142</v>
      </c>
      <c r="B436" s="145" t="s">
        <v>1621</v>
      </c>
      <c r="C436" s="145" t="s">
        <v>1621</v>
      </c>
      <c r="D436" s="145" t="s">
        <v>1621</v>
      </c>
      <c r="E436" s="145" t="s">
        <v>1634</v>
      </c>
      <c r="K436" s="124"/>
      <c r="N436" s="124"/>
      <c r="Q436" s="124"/>
      <c r="S436" s="125"/>
      <c r="V436" s="125"/>
      <c r="Y436" s="125"/>
      <c r="AB436" s="126"/>
    </row>
    <row r="437">
      <c r="A437" s="102">
        <f t="shared" si="224"/>
        <v>143</v>
      </c>
      <c r="B437" s="145" t="s">
        <v>1621</v>
      </c>
      <c r="C437" s="145" t="s">
        <v>1624</v>
      </c>
      <c r="D437" s="145" t="s">
        <v>1621</v>
      </c>
      <c r="E437" s="145" t="s">
        <v>1621</v>
      </c>
      <c r="K437" s="124"/>
      <c r="N437" s="124"/>
      <c r="Q437" s="124"/>
      <c r="S437" s="125"/>
      <c r="V437" s="125"/>
      <c r="Y437" s="125"/>
      <c r="AB437" s="126"/>
    </row>
    <row r="438">
      <c r="A438" s="102">
        <f t="shared" si="224"/>
        <v>144</v>
      </c>
      <c r="B438" s="145" t="s">
        <v>1624</v>
      </c>
      <c r="C438" s="145" t="s">
        <v>1621</v>
      </c>
      <c r="D438" s="145" t="s">
        <v>1634</v>
      </c>
      <c r="E438" s="145" t="s">
        <v>1624</v>
      </c>
      <c r="K438" s="124"/>
      <c r="N438" s="124"/>
      <c r="Q438" s="124"/>
      <c r="S438" s="125"/>
      <c r="V438" s="125"/>
      <c r="Y438" s="125"/>
      <c r="AB438" s="126"/>
    </row>
    <row r="439">
      <c r="A439" s="102">
        <f t="shared" si="224"/>
        <v>145</v>
      </c>
      <c r="B439" s="145" t="s">
        <v>1621</v>
      </c>
      <c r="C439" s="145" t="s">
        <v>1621</v>
      </c>
      <c r="D439" s="145" t="s">
        <v>1621</v>
      </c>
      <c r="E439" s="145" t="s">
        <v>1621</v>
      </c>
      <c r="K439" s="124"/>
      <c r="N439" s="124"/>
      <c r="Q439" s="124"/>
      <c r="S439" s="125"/>
      <c r="V439" s="125"/>
      <c r="Y439" s="125"/>
      <c r="AB439" s="126"/>
    </row>
    <row r="440">
      <c r="A440" s="102">
        <f t="shared" si="224"/>
        <v>146</v>
      </c>
      <c r="B440" s="145" t="s">
        <v>1624</v>
      </c>
      <c r="C440" s="145" t="s">
        <v>1634</v>
      </c>
      <c r="D440" s="145" t="s">
        <v>1624</v>
      </c>
      <c r="E440" s="145" t="s">
        <v>1621</v>
      </c>
      <c r="K440" s="124"/>
      <c r="N440" s="124"/>
      <c r="Q440" s="124"/>
      <c r="S440" s="125"/>
      <c r="V440" s="125"/>
      <c r="Y440" s="125"/>
      <c r="AB440" s="126"/>
    </row>
    <row r="441">
      <c r="A441" s="102">
        <f t="shared" si="224"/>
        <v>147</v>
      </c>
      <c r="B441" s="145" t="s">
        <v>1621</v>
      </c>
      <c r="C441" s="145" t="s">
        <v>1621</v>
      </c>
      <c r="D441" s="145" t="s">
        <v>1621</v>
      </c>
      <c r="E441" s="145" t="s">
        <v>1621</v>
      </c>
      <c r="K441" s="124"/>
      <c r="N441" s="124"/>
      <c r="Q441" s="124"/>
      <c r="S441" s="125"/>
      <c r="V441" s="125"/>
      <c r="Y441" s="125"/>
      <c r="AB441" s="126"/>
    </row>
    <row r="442">
      <c r="A442" s="102">
        <f t="shared" si="224"/>
        <v>148</v>
      </c>
      <c r="B442" s="145" t="s">
        <v>1621</v>
      </c>
      <c r="C442" s="145" t="s">
        <v>1624</v>
      </c>
      <c r="D442" s="145" t="s">
        <v>1621</v>
      </c>
      <c r="E442" s="145" t="s">
        <v>1624</v>
      </c>
      <c r="K442" s="124"/>
      <c r="N442" s="124"/>
      <c r="Q442" s="124"/>
      <c r="S442" s="125"/>
      <c r="V442" s="125"/>
      <c r="Y442" s="125"/>
      <c r="AB442" s="126"/>
    </row>
    <row r="443">
      <c r="A443" s="102">
        <f t="shared" si="224"/>
        <v>149</v>
      </c>
      <c r="B443" s="145" t="s">
        <v>1621</v>
      </c>
      <c r="C443" s="145" t="s">
        <v>1621</v>
      </c>
      <c r="D443" s="145" t="s">
        <v>1621</v>
      </c>
      <c r="E443" s="145" t="s">
        <v>1621</v>
      </c>
      <c r="K443" s="124"/>
      <c r="N443" s="124"/>
      <c r="Q443" s="124"/>
      <c r="S443" s="125"/>
      <c r="V443" s="125"/>
      <c r="Y443" s="125"/>
      <c r="AB443" s="126"/>
    </row>
    <row r="444">
      <c r="A444" s="102">
        <f t="shared" si="224"/>
        <v>150</v>
      </c>
      <c r="B444" s="145" t="s">
        <v>1621</v>
      </c>
      <c r="C444" s="145" t="s">
        <v>1621</v>
      </c>
      <c r="D444" s="145" t="s">
        <v>1624</v>
      </c>
      <c r="E444" s="145" t="s">
        <v>1621</v>
      </c>
      <c r="K444" s="124"/>
      <c r="N444" s="124"/>
      <c r="Q444" s="124"/>
      <c r="S444" s="125"/>
      <c r="V444" s="125"/>
      <c r="Y444" s="125"/>
      <c r="AB444" s="126"/>
    </row>
    <row r="445">
      <c r="A445" s="102">
        <f t="shared" si="224"/>
        <v>151</v>
      </c>
      <c r="B445" s="145" t="s">
        <v>1624</v>
      </c>
      <c r="C445" s="145" t="s">
        <v>1621</v>
      </c>
      <c r="D445" s="145" t="s">
        <v>1621</v>
      </c>
      <c r="E445" s="145" t="s">
        <v>107</v>
      </c>
      <c r="K445" s="124"/>
      <c r="N445" s="124"/>
      <c r="Q445" s="124"/>
      <c r="S445" s="125"/>
      <c r="V445" s="125"/>
      <c r="Y445" s="125"/>
      <c r="AB445" s="126"/>
    </row>
    <row r="446">
      <c r="A446" s="102">
        <f t="shared" si="224"/>
        <v>152</v>
      </c>
      <c r="B446" s="145" t="s">
        <v>1621</v>
      </c>
      <c r="C446" s="145" t="s">
        <v>1624</v>
      </c>
      <c r="D446" s="145" t="s">
        <v>1621</v>
      </c>
      <c r="E446" s="145" t="s">
        <v>1621</v>
      </c>
      <c r="K446" s="124"/>
      <c r="N446" s="124"/>
      <c r="Q446" s="124"/>
      <c r="S446" s="125"/>
      <c r="V446" s="125"/>
      <c r="Y446" s="125"/>
      <c r="AB446" s="126"/>
    </row>
    <row r="447">
      <c r="A447" s="102">
        <f t="shared" si="224"/>
        <v>153</v>
      </c>
      <c r="B447" s="145" t="s">
        <v>1621</v>
      </c>
      <c r="C447" s="145" t="s">
        <v>1621</v>
      </c>
      <c r="D447" s="145" t="s">
        <v>107</v>
      </c>
      <c r="E447" s="145" t="s">
        <v>1621</v>
      </c>
      <c r="K447" s="124"/>
      <c r="N447" s="124"/>
      <c r="Q447" s="124"/>
      <c r="S447" s="125"/>
      <c r="V447" s="125"/>
      <c r="Y447" s="125"/>
      <c r="AB447" s="126"/>
    </row>
    <row r="448">
      <c r="A448" s="102">
        <f t="shared" si="224"/>
        <v>154</v>
      </c>
      <c r="B448" s="145" t="s">
        <v>1621</v>
      </c>
      <c r="C448" s="145" t="s">
        <v>1621</v>
      </c>
      <c r="D448" s="145" t="s">
        <v>1621</v>
      </c>
      <c r="E448" s="145" t="s">
        <v>1621</v>
      </c>
      <c r="K448" s="124"/>
      <c r="N448" s="124"/>
      <c r="Q448" s="124"/>
      <c r="S448" s="125"/>
      <c r="V448" s="125"/>
      <c r="Y448" s="125"/>
      <c r="AB448" s="126"/>
    </row>
    <row r="449">
      <c r="A449" s="102">
        <f t="shared" si="224"/>
        <v>155</v>
      </c>
      <c r="B449" s="145" t="s">
        <v>1621</v>
      </c>
      <c r="C449" s="145" t="s">
        <v>107</v>
      </c>
      <c r="D449" s="145" t="s">
        <v>1621</v>
      </c>
      <c r="E449" s="145" t="s">
        <v>1621</v>
      </c>
      <c r="K449" s="124"/>
      <c r="N449" s="124"/>
      <c r="Q449" s="124"/>
      <c r="S449" s="125"/>
      <c r="V449" s="125"/>
      <c r="Y449" s="125"/>
      <c r="AB449" s="126"/>
    </row>
    <row r="450">
      <c r="A450" s="102">
        <f t="shared" si="224"/>
        <v>156</v>
      </c>
      <c r="B450" s="145" t="s">
        <v>1624</v>
      </c>
      <c r="C450" s="145" t="s">
        <v>1621</v>
      </c>
      <c r="D450" s="145" t="s">
        <v>1621</v>
      </c>
      <c r="E450" s="145" t="s">
        <v>1636</v>
      </c>
      <c r="K450" s="124"/>
      <c r="N450" s="124"/>
      <c r="Q450" s="124"/>
      <c r="S450" s="125"/>
      <c r="V450" s="125"/>
      <c r="Y450" s="125"/>
      <c r="AB450" s="126"/>
    </row>
    <row r="451">
      <c r="A451" s="102">
        <f t="shared" si="224"/>
        <v>157</v>
      </c>
      <c r="B451" s="145" t="s">
        <v>1621</v>
      </c>
      <c r="C451" s="145" t="s">
        <v>1621</v>
      </c>
      <c r="D451" s="145" t="s">
        <v>1621</v>
      </c>
      <c r="E451" s="145" t="s">
        <v>1634</v>
      </c>
      <c r="K451" s="124"/>
      <c r="N451" s="124"/>
      <c r="Q451" s="124"/>
      <c r="S451" s="125"/>
      <c r="V451" s="125"/>
      <c r="Y451" s="125"/>
      <c r="AB451" s="126"/>
    </row>
    <row r="452">
      <c r="A452" s="102">
        <f t="shared" si="224"/>
        <v>158</v>
      </c>
      <c r="B452" s="145" t="s">
        <v>1621</v>
      </c>
      <c r="C452" s="145" t="s">
        <v>1621</v>
      </c>
      <c r="D452" s="145" t="s">
        <v>1636</v>
      </c>
      <c r="E452" s="145" t="s">
        <v>1621</v>
      </c>
      <c r="K452" s="124"/>
      <c r="N452" s="124"/>
      <c r="Q452" s="124"/>
      <c r="S452" s="125"/>
      <c r="V452" s="125"/>
      <c r="Y452" s="125"/>
      <c r="AB452" s="126"/>
    </row>
    <row r="453">
      <c r="A453" s="102">
        <f t="shared" si="224"/>
        <v>159</v>
      </c>
      <c r="B453" s="145" t="s">
        <v>107</v>
      </c>
      <c r="C453" s="145" t="s">
        <v>1621</v>
      </c>
      <c r="D453" s="145" t="s">
        <v>1621</v>
      </c>
      <c r="E453" s="145" t="s">
        <v>1624</v>
      </c>
      <c r="K453" s="124"/>
      <c r="N453" s="124"/>
      <c r="Q453" s="124"/>
      <c r="S453" s="125"/>
      <c r="V453" s="125"/>
      <c r="Y453" s="125"/>
      <c r="AB453" s="126"/>
    </row>
    <row r="454">
      <c r="A454" s="102">
        <f t="shared" si="224"/>
        <v>160</v>
      </c>
      <c r="B454" s="145" t="s">
        <v>1621</v>
      </c>
      <c r="C454" s="145" t="s">
        <v>1621</v>
      </c>
      <c r="D454" s="145" t="s">
        <v>1624</v>
      </c>
      <c r="E454" s="145" t="s">
        <v>1621</v>
      </c>
      <c r="K454" s="124"/>
      <c r="N454" s="124"/>
      <c r="Q454" s="124"/>
      <c r="S454" s="125"/>
      <c r="V454" s="125"/>
      <c r="Y454" s="125"/>
      <c r="AB454" s="126"/>
    </row>
    <row r="455">
      <c r="A455" s="102">
        <f t="shared" si="224"/>
        <v>161</v>
      </c>
      <c r="B455" s="145" t="s">
        <v>1621</v>
      </c>
      <c r="C455" s="145" t="s">
        <v>1621</v>
      </c>
      <c r="D455" s="145" t="s">
        <v>1621</v>
      </c>
      <c r="E455" s="145" t="s">
        <v>1621</v>
      </c>
      <c r="K455" s="124"/>
      <c r="N455" s="124"/>
      <c r="Q455" s="124"/>
      <c r="S455" s="125"/>
      <c r="V455" s="125"/>
      <c r="Y455" s="125"/>
      <c r="AB455" s="126"/>
    </row>
    <row r="456">
      <c r="A456" s="102">
        <f t="shared" si="224"/>
        <v>162</v>
      </c>
      <c r="B456" s="145" t="s">
        <v>1621</v>
      </c>
      <c r="C456" s="145" t="s">
        <v>1624</v>
      </c>
      <c r="D456" s="145" t="s">
        <v>1621</v>
      </c>
      <c r="E456" s="145" t="s">
        <v>1621</v>
      </c>
      <c r="K456" s="124"/>
      <c r="N456" s="124"/>
      <c r="Q456" s="124"/>
      <c r="S456" s="125"/>
      <c r="V456" s="125"/>
      <c r="Y456" s="125"/>
      <c r="AB456" s="126"/>
    </row>
    <row r="457">
      <c r="A457" s="102">
        <f t="shared" si="224"/>
        <v>163</v>
      </c>
      <c r="B457" s="145" t="s">
        <v>1621</v>
      </c>
      <c r="C457" s="145" t="s">
        <v>1621</v>
      </c>
      <c r="D457" s="145" t="s">
        <v>1621</v>
      </c>
      <c r="E457" s="145" t="s">
        <v>1621</v>
      </c>
      <c r="K457" s="124"/>
      <c r="N457" s="124"/>
      <c r="Q457" s="124"/>
      <c r="S457" s="125"/>
      <c r="V457" s="125"/>
      <c r="Y457" s="125"/>
      <c r="AB457" s="126"/>
    </row>
    <row r="458">
      <c r="A458" s="102">
        <f t="shared" si="224"/>
        <v>164</v>
      </c>
      <c r="B458" s="145" t="s">
        <v>1624</v>
      </c>
      <c r="C458" s="145" t="s">
        <v>1621</v>
      </c>
      <c r="D458" s="145" t="s">
        <v>1621</v>
      </c>
      <c r="E458" s="145" t="s">
        <v>1624</v>
      </c>
      <c r="K458" s="124"/>
      <c r="N458" s="124"/>
      <c r="Q458" s="124"/>
      <c r="S458" s="125"/>
      <c r="V458" s="125"/>
      <c r="Y458" s="125"/>
      <c r="AB458" s="126"/>
    </row>
    <row r="459">
      <c r="A459" s="102">
        <f t="shared" si="224"/>
        <v>165</v>
      </c>
      <c r="B459" s="145" t="s">
        <v>1621</v>
      </c>
      <c r="C459" s="145" t="s">
        <v>1621</v>
      </c>
      <c r="D459" s="145" t="s">
        <v>1624</v>
      </c>
      <c r="E459" s="145" t="s">
        <v>1621</v>
      </c>
      <c r="K459" s="124"/>
      <c r="N459" s="124"/>
      <c r="Q459" s="124"/>
      <c r="S459" s="125"/>
      <c r="V459" s="125"/>
      <c r="Y459" s="125"/>
      <c r="AB459" s="126"/>
    </row>
    <row r="460">
      <c r="A460" s="102">
        <f t="shared" si="224"/>
        <v>166</v>
      </c>
      <c r="B460" s="145" t="s">
        <v>1621</v>
      </c>
      <c r="C460" s="145" t="s">
        <v>1621</v>
      </c>
      <c r="D460" s="145" t="s">
        <v>1621</v>
      </c>
      <c r="E460" s="145" t="s">
        <v>1621</v>
      </c>
      <c r="K460" s="124"/>
      <c r="N460" s="124"/>
      <c r="Q460" s="124"/>
      <c r="S460" s="125"/>
      <c r="V460" s="125"/>
      <c r="Y460" s="125"/>
      <c r="AB460" s="126"/>
    </row>
    <row r="461">
      <c r="A461" s="102">
        <f t="shared" si="224"/>
        <v>167</v>
      </c>
      <c r="B461" s="145" t="s">
        <v>1624</v>
      </c>
      <c r="C461" s="145" t="s">
        <v>1624</v>
      </c>
      <c r="D461" s="145" t="s">
        <v>1621</v>
      </c>
      <c r="E461" s="145" t="s">
        <v>1624</v>
      </c>
      <c r="K461" s="124"/>
      <c r="N461" s="124"/>
      <c r="Q461" s="124"/>
      <c r="S461" s="125"/>
      <c r="V461" s="125"/>
      <c r="Y461" s="125"/>
      <c r="AB461" s="126"/>
    </row>
    <row r="462">
      <c r="A462" s="102">
        <f t="shared" si="224"/>
        <v>168</v>
      </c>
      <c r="B462" s="145" t="s">
        <v>1621</v>
      </c>
      <c r="C462" s="145" t="s">
        <v>1621</v>
      </c>
      <c r="D462" s="145" t="s">
        <v>1624</v>
      </c>
      <c r="E462" s="145" t="s">
        <v>1621</v>
      </c>
      <c r="K462" s="124"/>
      <c r="N462" s="124"/>
      <c r="Q462" s="124"/>
      <c r="S462" s="125"/>
      <c r="V462" s="125"/>
      <c r="Y462" s="125"/>
      <c r="AB462" s="126"/>
    </row>
    <row r="463">
      <c r="A463" s="102">
        <f t="shared" si="224"/>
        <v>169</v>
      </c>
      <c r="B463" s="145" t="s">
        <v>1621</v>
      </c>
      <c r="C463" s="145" t="s">
        <v>1621</v>
      </c>
      <c r="D463" s="145" t="s">
        <v>1621</v>
      </c>
      <c r="E463" s="145" t="s">
        <v>1621</v>
      </c>
      <c r="K463" s="124"/>
      <c r="N463" s="124"/>
      <c r="Q463" s="124"/>
      <c r="S463" s="125"/>
      <c r="V463" s="125"/>
      <c r="Y463" s="125"/>
      <c r="AB463" s="126"/>
    </row>
    <row r="464">
      <c r="A464" s="102">
        <f t="shared" si="224"/>
        <v>170</v>
      </c>
      <c r="B464" s="145" t="s">
        <v>1621</v>
      </c>
      <c r="C464" s="145" t="s">
        <v>1624</v>
      </c>
      <c r="D464" s="145" t="s">
        <v>1621</v>
      </c>
      <c r="E464" s="145" t="s">
        <v>1621</v>
      </c>
      <c r="K464" s="124"/>
      <c r="N464" s="124"/>
      <c r="Q464" s="124"/>
      <c r="S464" s="125"/>
      <c r="V464" s="125"/>
      <c r="Y464" s="125"/>
      <c r="AB464" s="126"/>
    </row>
    <row r="465">
      <c r="A465" s="102">
        <f t="shared" si="224"/>
        <v>171</v>
      </c>
      <c r="B465" s="145" t="s">
        <v>1621</v>
      </c>
      <c r="C465" s="145" t="s">
        <v>1621</v>
      </c>
      <c r="D465" s="145" t="s">
        <v>1621</v>
      </c>
      <c r="E465" s="145" t="s">
        <v>1635</v>
      </c>
      <c r="K465" s="124"/>
      <c r="N465" s="124"/>
      <c r="Q465" s="124"/>
      <c r="S465" s="125"/>
      <c r="V465" s="125"/>
      <c r="Y465" s="125"/>
      <c r="AB465" s="126"/>
    </row>
    <row r="466">
      <c r="A466" s="102">
        <f t="shared" si="224"/>
        <v>172</v>
      </c>
      <c r="B466" s="145" t="s">
        <v>1624</v>
      </c>
      <c r="C466" s="145" t="s">
        <v>1621</v>
      </c>
      <c r="D466" s="145" t="s">
        <v>1635</v>
      </c>
      <c r="E466" s="145" t="s">
        <v>1621</v>
      </c>
      <c r="K466" s="124"/>
      <c r="N466" s="124"/>
      <c r="Q466" s="124"/>
      <c r="S466" s="125"/>
      <c r="V466" s="125"/>
      <c r="Y466" s="125"/>
      <c r="AB466" s="126"/>
    </row>
    <row r="467">
      <c r="A467" s="102">
        <f t="shared" si="224"/>
        <v>173</v>
      </c>
      <c r="B467" s="145" t="s">
        <v>1621</v>
      </c>
      <c r="C467" s="145" t="s">
        <v>1621</v>
      </c>
      <c r="D467" s="145" t="s">
        <v>1621</v>
      </c>
      <c r="E467" s="145" t="s">
        <v>1634</v>
      </c>
      <c r="K467" s="124"/>
      <c r="N467" s="124"/>
      <c r="Q467" s="124"/>
      <c r="S467" s="125"/>
      <c r="V467" s="125"/>
      <c r="Y467" s="125"/>
      <c r="AB467" s="126"/>
    </row>
    <row r="468">
      <c r="A468" s="102">
        <f t="shared" si="224"/>
        <v>174</v>
      </c>
      <c r="B468" s="145" t="s">
        <v>1621</v>
      </c>
      <c r="C468" s="145" t="s">
        <v>1635</v>
      </c>
      <c r="D468" s="145" t="s">
        <v>1621</v>
      </c>
      <c r="E468" s="145" t="s">
        <v>1621</v>
      </c>
      <c r="K468" s="124"/>
      <c r="N468" s="124"/>
      <c r="Q468" s="124"/>
      <c r="S468" s="125"/>
      <c r="V468" s="125"/>
      <c r="Y468" s="125"/>
      <c r="AB468" s="126"/>
    </row>
    <row r="469">
      <c r="A469" s="102">
        <f t="shared" si="224"/>
        <v>175</v>
      </c>
      <c r="B469" s="145" t="s">
        <v>1624</v>
      </c>
      <c r="C469" s="145" t="s">
        <v>1621</v>
      </c>
      <c r="D469" s="145" t="s">
        <v>1621</v>
      </c>
      <c r="E469" s="145" t="s">
        <v>1621</v>
      </c>
      <c r="K469" s="124"/>
      <c r="N469" s="124"/>
      <c r="Q469" s="124"/>
      <c r="S469" s="125"/>
      <c r="V469" s="125"/>
      <c r="Y469" s="125"/>
      <c r="AB469" s="126"/>
    </row>
    <row r="470">
      <c r="A470" s="102">
        <f t="shared" si="224"/>
        <v>176</v>
      </c>
      <c r="B470" s="145" t="s">
        <v>1621</v>
      </c>
      <c r="C470" s="145" t="s">
        <v>1621</v>
      </c>
      <c r="D470" s="145" t="s">
        <v>1621</v>
      </c>
      <c r="E470" s="145" t="s">
        <v>1624</v>
      </c>
      <c r="K470" s="124"/>
      <c r="N470" s="124"/>
      <c r="Q470" s="124"/>
      <c r="S470" s="125"/>
      <c r="V470" s="125"/>
      <c r="Y470" s="125"/>
      <c r="AB470" s="126"/>
    </row>
    <row r="471">
      <c r="A471" s="102">
        <f t="shared" si="224"/>
        <v>177</v>
      </c>
      <c r="B471" s="145" t="s">
        <v>1621</v>
      </c>
      <c r="C471" s="145" t="s">
        <v>1621</v>
      </c>
      <c r="D471" s="145" t="s">
        <v>1624</v>
      </c>
      <c r="E471" s="145" t="s">
        <v>1621</v>
      </c>
      <c r="K471" s="124"/>
      <c r="N471" s="124"/>
      <c r="Q471" s="124"/>
      <c r="S471" s="125"/>
      <c r="V471" s="125"/>
      <c r="Y471" s="125"/>
      <c r="AB471" s="126"/>
    </row>
    <row r="472">
      <c r="A472" s="102">
        <f t="shared" si="224"/>
        <v>178</v>
      </c>
      <c r="B472" s="145" t="s">
        <v>1621</v>
      </c>
      <c r="C472" s="145" t="s">
        <v>1621</v>
      </c>
      <c r="D472" s="145" t="s">
        <v>1621</v>
      </c>
      <c r="E472" s="145" t="s">
        <v>1624</v>
      </c>
      <c r="K472" s="124"/>
      <c r="N472" s="124"/>
      <c r="Q472" s="124"/>
      <c r="S472" s="125"/>
      <c r="V472" s="125"/>
      <c r="Y472" s="125"/>
      <c r="AB472" s="126"/>
    </row>
    <row r="473">
      <c r="A473" s="102">
        <f t="shared" si="224"/>
        <v>179</v>
      </c>
      <c r="B473" s="145" t="s">
        <v>1624</v>
      </c>
      <c r="C473" s="145" t="s">
        <v>1624</v>
      </c>
      <c r="D473" s="145" t="s">
        <v>1624</v>
      </c>
      <c r="E473" s="145" t="s">
        <v>1621</v>
      </c>
      <c r="K473" s="124"/>
      <c r="N473" s="124"/>
      <c r="Q473" s="124"/>
      <c r="S473" s="125"/>
      <c r="V473" s="125"/>
      <c r="Y473" s="125"/>
      <c r="AB473" s="126"/>
    </row>
    <row r="474">
      <c r="A474" s="102">
        <f t="shared" si="224"/>
        <v>180</v>
      </c>
      <c r="B474" s="145" t="s">
        <v>1621</v>
      </c>
      <c r="C474" s="145" t="s">
        <v>1621</v>
      </c>
      <c r="D474" s="145" t="s">
        <v>1621</v>
      </c>
      <c r="E474" s="145" t="s">
        <v>1621</v>
      </c>
      <c r="K474" s="124"/>
      <c r="N474" s="124"/>
      <c r="Q474" s="124"/>
      <c r="S474" s="125"/>
      <c r="V474" s="125"/>
      <c r="Y474" s="125"/>
      <c r="AB474" s="126"/>
    </row>
    <row r="475">
      <c r="A475" s="102">
        <f t="shared" si="224"/>
        <v>181</v>
      </c>
      <c r="B475" s="145" t="s">
        <v>1621</v>
      </c>
      <c r="C475" s="145" t="s">
        <v>1624</v>
      </c>
      <c r="D475" s="145" t="s">
        <v>1621</v>
      </c>
      <c r="E475" s="145" t="s">
        <v>1621</v>
      </c>
      <c r="K475" s="124"/>
      <c r="N475" s="124"/>
      <c r="Q475" s="124"/>
      <c r="S475" s="125"/>
      <c r="V475" s="125"/>
      <c r="Y475" s="125"/>
      <c r="AB475" s="126"/>
    </row>
    <row r="476">
      <c r="A476" s="102">
        <f t="shared" si="224"/>
        <v>182</v>
      </c>
      <c r="B476" s="145" t="s">
        <v>1621</v>
      </c>
      <c r="C476" s="145" t="s">
        <v>1621</v>
      </c>
      <c r="D476" s="145" t="s">
        <v>1621</v>
      </c>
      <c r="E476" s="145" t="s">
        <v>107</v>
      </c>
      <c r="K476" s="124"/>
      <c r="N476" s="124"/>
      <c r="Q476" s="124"/>
      <c r="S476" s="125"/>
      <c r="V476" s="125"/>
      <c r="Y476" s="125"/>
      <c r="AB476" s="126"/>
    </row>
    <row r="477">
      <c r="A477" s="102">
        <f t="shared" si="224"/>
        <v>183</v>
      </c>
      <c r="B477" s="145" t="s">
        <v>1621</v>
      </c>
      <c r="C477" s="145" t="s">
        <v>1621</v>
      </c>
      <c r="D477" s="145" t="s">
        <v>1621</v>
      </c>
      <c r="E477" s="145" t="s">
        <v>1621</v>
      </c>
      <c r="K477" s="124"/>
      <c r="N477" s="124"/>
      <c r="Q477" s="124"/>
      <c r="S477" s="125"/>
      <c r="V477" s="125"/>
      <c r="Y477" s="125"/>
      <c r="AB477" s="126"/>
    </row>
    <row r="478">
      <c r="A478" s="102">
        <f t="shared" si="224"/>
        <v>184</v>
      </c>
      <c r="B478" s="145" t="s">
        <v>1624</v>
      </c>
      <c r="C478" s="145" t="s">
        <v>1621</v>
      </c>
      <c r="D478" s="145" t="s">
        <v>107</v>
      </c>
      <c r="E478" s="145" t="s">
        <v>1621</v>
      </c>
      <c r="K478" s="124"/>
      <c r="N478" s="124"/>
      <c r="Q478" s="124"/>
      <c r="S478" s="125"/>
      <c r="V478" s="125"/>
      <c r="Y478" s="125"/>
      <c r="AB478" s="126"/>
    </row>
    <row r="479">
      <c r="A479" s="102">
        <f t="shared" si="224"/>
        <v>185</v>
      </c>
      <c r="B479" s="145" t="s">
        <v>1621</v>
      </c>
      <c r="C479" s="145" t="s">
        <v>1621</v>
      </c>
      <c r="D479" s="145" t="s">
        <v>1621</v>
      </c>
      <c r="E479" s="145" t="s">
        <v>1621</v>
      </c>
      <c r="K479" s="124"/>
      <c r="N479" s="124"/>
      <c r="Q479" s="124"/>
      <c r="S479" s="125"/>
      <c r="V479" s="125"/>
      <c r="Y479" s="125"/>
      <c r="AB479" s="126"/>
    </row>
    <row r="480">
      <c r="A480" s="102">
        <f t="shared" si="224"/>
        <v>186</v>
      </c>
      <c r="B480" s="145" t="s">
        <v>1624</v>
      </c>
      <c r="C480" s="145" t="s">
        <v>107</v>
      </c>
      <c r="D480" s="145" t="s">
        <v>1621</v>
      </c>
      <c r="E480" s="145" t="s">
        <v>1624</v>
      </c>
      <c r="K480" s="124"/>
      <c r="N480" s="124"/>
      <c r="Q480" s="124"/>
      <c r="S480" s="125"/>
      <c r="V480" s="125"/>
      <c r="Y480" s="125"/>
      <c r="AB480" s="126"/>
    </row>
    <row r="481">
      <c r="A481" s="102">
        <f t="shared" si="224"/>
        <v>187</v>
      </c>
      <c r="B481" s="145" t="s">
        <v>1621</v>
      </c>
      <c r="C481" s="145" t="s">
        <v>1621</v>
      </c>
      <c r="D481" s="145" t="s">
        <v>1621</v>
      </c>
      <c r="E481" s="145" t="s">
        <v>1635</v>
      </c>
      <c r="K481" s="124"/>
      <c r="N481" s="124"/>
      <c r="Q481" s="124"/>
      <c r="S481" s="125"/>
      <c r="V481" s="125"/>
      <c r="Y481" s="125"/>
      <c r="AB481" s="126"/>
    </row>
    <row r="482">
      <c r="A482" s="102">
        <f t="shared" si="224"/>
        <v>188</v>
      </c>
      <c r="B482" s="145" t="s">
        <v>1621</v>
      </c>
      <c r="C482" s="145" t="s">
        <v>1621</v>
      </c>
      <c r="D482" s="145" t="s">
        <v>1624</v>
      </c>
      <c r="E482" s="145" t="s">
        <v>1621</v>
      </c>
      <c r="K482" s="124"/>
      <c r="N482" s="124"/>
      <c r="Q482" s="124"/>
      <c r="S482" s="125"/>
      <c r="V482" s="125"/>
      <c r="Y482" s="125"/>
      <c r="AB482" s="126"/>
    </row>
    <row r="483">
      <c r="A483" s="102">
        <f t="shared" si="224"/>
        <v>189</v>
      </c>
      <c r="B483" s="145" t="s">
        <v>1621</v>
      </c>
      <c r="C483" s="145" t="s">
        <v>1621</v>
      </c>
      <c r="D483" s="145" t="s">
        <v>1624</v>
      </c>
      <c r="E483" s="145" t="s">
        <v>1621</v>
      </c>
      <c r="K483" s="124"/>
      <c r="N483" s="124"/>
      <c r="Q483" s="124"/>
      <c r="S483" s="125"/>
      <c r="V483" s="125"/>
      <c r="Y483" s="125"/>
      <c r="AB483" s="126"/>
    </row>
    <row r="484">
      <c r="A484" s="102">
        <f t="shared" si="224"/>
        <v>190</v>
      </c>
      <c r="B484" s="145" t="s">
        <v>1621</v>
      </c>
      <c r="C484" s="145" t="s">
        <v>1621</v>
      </c>
      <c r="D484" s="145" t="s">
        <v>1621</v>
      </c>
      <c r="E484" s="145" t="s">
        <v>1621</v>
      </c>
      <c r="K484" s="124"/>
      <c r="N484" s="124"/>
      <c r="Q484" s="124"/>
      <c r="S484" s="125"/>
      <c r="V484" s="125"/>
      <c r="Y484" s="125"/>
      <c r="AB484" s="126"/>
    </row>
    <row r="485">
      <c r="A485" s="102">
        <f t="shared" si="224"/>
        <v>191</v>
      </c>
      <c r="B485" s="145" t="s">
        <v>107</v>
      </c>
      <c r="C485" s="145" t="s">
        <v>1624</v>
      </c>
      <c r="D485" s="145" t="s">
        <v>1621</v>
      </c>
      <c r="E485" s="145" t="s">
        <v>1621</v>
      </c>
      <c r="K485" s="124"/>
      <c r="N485" s="124"/>
      <c r="Q485" s="124"/>
      <c r="S485" s="125"/>
      <c r="V485" s="125"/>
      <c r="Y485" s="125"/>
      <c r="AB485" s="126"/>
    </row>
    <row r="486">
      <c r="A486" s="102">
        <f t="shared" si="224"/>
        <v>192</v>
      </c>
      <c r="B486" s="145" t="s">
        <v>1621</v>
      </c>
      <c r="C486" s="145" t="s">
        <v>1624</v>
      </c>
      <c r="D486" s="145" t="s">
        <v>1621</v>
      </c>
      <c r="E486" s="145" t="s">
        <v>1636</v>
      </c>
      <c r="K486" s="124"/>
      <c r="N486" s="124"/>
      <c r="Q486" s="124"/>
      <c r="S486" s="125"/>
      <c r="V486" s="125"/>
      <c r="Y486" s="125"/>
      <c r="AB486" s="126"/>
    </row>
    <row r="487">
      <c r="A487" s="102">
        <f t="shared" si="224"/>
        <v>193</v>
      </c>
      <c r="B487" s="145" t="s">
        <v>1621</v>
      </c>
      <c r="C487" s="145" t="s">
        <v>1621</v>
      </c>
      <c r="D487" s="145" t="s">
        <v>1621</v>
      </c>
      <c r="E487" s="145" t="s">
        <v>1621</v>
      </c>
      <c r="K487" s="124"/>
      <c r="N487" s="124"/>
      <c r="Q487" s="124"/>
      <c r="S487" s="125"/>
      <c r="V487" s="125"/>
      <c r="Y487" s="125"/>
      <c r="AB487" s="126"/>
    </row>
    <row r="488">
      <c r="A488" s="102">
        <f t="shared" si="224"/>
        <v>194</v>
      </c>
      <c r="B488" s="145" t="s">
        <v>1621</v>
      </c>
      <c r="C488" s="145" t="s">
        <v>1621</v>
      </c>
      <c r="D488" s="145" t="s">
        <v>1636</v>
      </c>
      <c r="E488" s="145" t="s">
        <v>1626</v>
      </c>
      <c r="K488" s="124"/>
      <c r="N488" s="124"/>
      <c r="Q488" s="124"/>
      <c r="S488" s="125"/>
      <c r="V488" s="125"/>
      <c r="Y488" s="125"/>
      <c r="AB488" s="126"/>
    </row>
    <row r="489">
      <c r="A489" s="102">
        <f t="shared" si="224"/>
        <v>195</v>
      </c>
      <c r="B489" s="145" t="s">
        <v>1621</v>
      </c>
      <c r="C489" s="145" t="s">
        <v>1621</v>
      </c>
      <c r="D489" s="145" t="s">
        <v>1621</v>
      </c>
      <c r="E489" s="145" t="s">
        <v>1621</v>
      </c>
      <c r="K489" s="124"/>
      <c r="N489" s="124"/>
      <c r="Q489" s="124"/>
      <c r="S489" s="125"/>
      <c r="V489" s="125"/>
      <c r="Y489" s="125"/>
      <c r="AB489" s="126"/>
    </row>
    <row r="490">
      <c r="A490" s="102">
        <f t="shared" si="224"/>
        <v>196</v>
      </c>
      <c r="B490" s="145" t="s">
        <v>1624</v>
      </c>
      <c r="C490" s="145" t="s">
        <v>1621</v>
      </c>
      <c r="D490" s="145" t="s">
        <v>1626</v>
      </c>
      <c r="E490" s="145" t="s">
        <v>1621</v>
      </c>
      <c r="K490" s="124"/>
      <c r="N490" s="124"/>
      <c r="Q490" s="124"/>
      <c r="S490" s="125"/>
      <c r="V490" s="125"/>
      <c r="Y490" s="125"/>
      <c r="AB490" s="126"/>
    </row>
    <row r="491">
      <c r="A491" s="102">
        <f t="shared" si="224"/>
        <v>197</v>
      </c>
      <c r="B491" s="145" t="s">
        <v>1621</v>
      </c>
      <c r="C491" s="145" t="s">
        <v>1636</v>
      </c>
      <c r="D491" s="145" t="s">
        <v>1621</v>
      </c>
      <c r="E491" s="145" t="s">
        <v>1624</v>
      </c>
      <c r="K491" s="124"/>
      <c r="N491" s="124"/>
      <c r="Q491" s="124"/>
      <c r="S491" s="125"/>
      <c r="V491" s="125"/>
      <c r="Y491" s="125"/>
      <c r="AB491" s="126"/>
    </row>
    <row r="492">
      <c r="A492" s="102">
        <f t="shared" si="224"/>
        <v>198</v>
      </c>
      <c r="B492" s="145" t="s">
        <v>1621</v>
      </c>
      <c r="C492" s="145" t="s">
        <v>1621</v>
      </c>
      <c r="D492" s="145" t="s">
        <v>1621</v>
      </c>
      <c r="E492" s="145" t="s">
        <v>1621</v>
      </c>
      <c r="K492" s="124"/>
      <c r="N492" s="124"/>
      <c r="Q492" s="124"/>
      <c r="S492" s="125"/>
      <c r="V492" s="125"/>
      <c r="Y492" s="125"/>
      <c r="AB492" s="126"/>
    </row>
    <row r="493">
      <c r="A493" s="102">
        <f t="shared" si="224"/>
        <v>199</v>
      </c>
      <c r="B493" s="145" t="s">
        <v>1624</v>
      </c>
      <c r="C493" s="145" t="s">
        <v>1626</v>
      </c>
      <c r="D493" s="145" t="s">
        <v>1624</v>
      </c>
      <c r="E493" s="145" t="s">
        <v>1621</v>
      </c>
      <c r="K493" s="124"/>
      <c r="N493" s="124"/>
      <c r="Q493" s="124"/>
      <c r="S493" s="125"/>
      <c r="V493" s="125"/>
      <c r="Y493" s="125"/>
      <c r="AB493" s="126"/>
    </row>
    <row r="494">
      <c r="A494" s="102">
        <f t="shared" si="224"/>
        <v>200</v>
      </c>
      <c r="B494" s="145" t="s">
        <v>1621</v>
      </c>
      <c r="C494" s="145" t="s">
        <v>1621</v>
      </c>
      <c r="D494" s="145" t="s">
        <v>1621</v>
      </c>
      <c r="E494" s="145" t="s">
        <v>1621</v>
      </c>
      <c r="K494" s="124"/>
      <c r="N494" s="124"/>
      <c r="Q494" s="124"/>
      <c r="S494" s="125"/>
      <c r="V494" s="125"/>
      <c r="Y494" s="125"/>
      <c r="AB494" s="126"/>
    </row>
    <row r="495">
      <c r="A495" s="102">
        <f t="shared" si="224"/>
        <v>201</v>
      </c>
      <c r="B495" s="145" t="s">
        <v>1621</v>
      </c>
      <c r="C495" s="145" t="s">
        <v>1621</v>
      </c>
      <c r="D495" s="145" t="s">
        <v>1621</v>
      </c>
      <c r="E495" s="145" t="s">
        <v>1621</v>
      </c>
      <c r="K495" s="124"/>
      <c r="N495" s="124"/>
      <c r="Q495" s="124"/>
      <c r="S495" s="125"/>
      <c r="V495" s="125"/>
      <c r="Y495" s="125"/>
      <c r="AB495" s="126"/>
    </row>
    <row r="496">
      <c r="A496" s="102">
        <f t="shared" si="224"/>
        <v>202</v>
      </c>
      <c r="B496" s="145" t="s">
        <v>1621</v>
      </c>
      <c r="C496" s="145" t="s">
        <v>1624</v>
      </c>
      <c r="D496" s="145" t="s">
        <v>1621</v>
      </c>
      <c r="E496" s="145" t="s">
        <v>1624</v>
      </c>
      <c r="K496" s="124"/>
      <c r="N496" s="124"/>
      <c r="Q496" s="124"/>
      <c r="S496" s="125"/>
      <c r="V496" s="125"/>
      <c r="Y496" s="125"/>
      <c r="AB496" s="126"/>
    </row>
    <row r="497">
      <c r="A497" s="102">
        <f t="shared" si="224"/>
        <v>203</v>
      </c>
      <c r="B497" s="145" t="s">
        <v>1621</v>
      </c>
      <c r="C497" s="145" t="s">
        <v>1621</v>
      </c>
      <c r="D497" s="145" t="s">
        <v>1621</v>
      </c>
      <c r="E497" s="145" t="s">
        <v>1634</v>
      </c>
      <c r="K497" s="124"/>
      <c r="N497" s="124"/>
      <c r="Q497" s="124"/>
      <c r="S497" s="125"/>
      <c r="V497" s="125"/>
      <c r="Y497" s="125"/>
      <c r="AB497" s="126"/>
    </row>
    <row r="498">
      <c r="A498" s="102">
        <f t="shared" si="224"/>
        <v>204</v>
      </c>
      <c r="B498" s="145" t="s">
        <v>1626</v>
      </c>
      <c r="C498" s="145" t="s">
        <v>1621</v>
      </c>
      <c r="D498" s="145" t="s">
        <v>1624</v>
      </c>
      <c r="E498" s="145" t="s">
        <v>1621</v>
      </c>
      <c r="K498" s="124"/>
      <c r="N498" s="124"/>
      <c r="Q498" s="124"/>
      <c r="S498" s="125"/>
      <c r="V498" s="125"/>
      <c r="Y498" s="125"/>
      <c r="AB498" s="126"/>
    </row>
    <row r="499">
      <c r="A499" s="102">
        <f t="shared" si="224"/>
        <v>205</v>
      </c>
      <c r="B499" s="145" t="s">
        <v>1621</v>
      </c>
      <c r="C499" s="145" t="s">
        <v>1621</v>
      </c>
      <c r="D499" s="145" t="s">
        <v>1634</v>
      </c>
      <c r="E499" s="145" t="s">
        <v>1624</v>
      </c>
      <c r="K499" s="124"/>
      <c r="N499" s="124"/>
      <c r="Q499" s="124"/>
      <c r="S499" s="125"/>
      <c r="V499" s="125"/>
      <c r="Y499" s="125"/>
      <c r="AB499" s="126"/>
    </row>
    <row r="500">
      <c r="A500" s="102">
        <f t="shared" si="224"/>
        <v>206</v>
      </c>
      <c r="B500" s="145" t="s">
        <v>1621</v>
      </c>
      <c r="C500" s="145" t="s">
        <v>1621</v>
      </c>
      <c r="D500" s="145" t="s">
        <v>1621</v>
      </c>
      <c r="E500" s="145" t="s">
        <v>1621</v>
      </c>
      <c r="K500" s="124"/>
      <c r="N500" s="124"/>
      <c r="Q500" s="124"/>
      <c r="S500" s="125"/>
      <c r="V500" s="125"/>
      <c r="Y500" s="125"/>
      <c r="AB500" s="126"/>
    </row>
    <row r="501">
      <c r="A501" s="102">
        <f t="shared" si="224"/>
        <v>207</v>
      </c>
      <c r="B501" s="145" t="s">
        <v>1624</v>
      </c>
      <c r="C501" s="145" t="s">
        <v>1624</v>
      </c>
      <c r="D501" s="145" t="s">
        <v>1624</v>
      </c>
      <c r="E501" s="145" t="s">
        <v>1621</v>
      </c>
      <c r="K501" s="124"/>
      <c r="N501" s="124"/>
      <c r="Q501" s="124"/>
      <c r="S501" s="125"/>
      <c r="V501" s="125"/>
      <c r="Y501" s="125"/>
      <c r="AB501" s="126"/>
    </row>
    <row r="502">
      <c r="A502" s="102">
        <f t="shared" si="224"/>
        <v>208</v>
      </c>
      <c r="B502" s="145" t="s">
        <v>1621</v>
      </c>
      <c r="C502" s="145" t="s">
        <v>1634</v>
      </c>
      <c r="D502" s="145" t="s">
        <v>1621</v>
      </c>
      <c r="E502" s="145" t="s">
        <v>1621</v>
      </c>
      <c r="K502" s="124"/>
      <c r="N502" s="124"/>
      <c r="Q502" s="124"/>
      <c r="S502" s="125"/>
      <c r="V502" s="125"/>
      <c r="Y502" s="125"/>
      <c r="AB502" s="126"/>
    </row>
    <row r="503">
      <c r="A503" s="102">
        <f t="shared" si="224"/>
        <v>209</v>
      </c>
      <c r="B503" s="145" t="s">
        <v>1621</v>
      </c>
      <c r="C503" s="145" t="s">
        <v>1621</v>
      </c>
      <c r="D503" s="145" t="s">
        <v>1621</v>
      </c>
      <c r="E503" s="145" t="s">
        <v>1621</v>
      </c>
      <c r="K503" s="124"/>
      <c r="N503" s="124"/>
      <c r="Q503" s="124"/>
      <c r="S503" s="125"/>
      <c r="V503" s="125"/>
      <c r="Y503" s="125"/>
      <c r="AB503" s="126"/>
    </row>
    <row r="504">
      <c r="A504" s="102">
        <f t="shared" si="224"/>
        <v>210</v>
      </c>
      <c r="B504" s="145" t="s">
        <v>1621</v>
      </c>
      <c r="C504" s="145" t="s">
        <v>1624</v>
      </c>
      <c r="D504" s="145" t="s">
        <v>1621</v>
      </c>
      <c r="E504" s="145" t="s">
        <v>1621</v>
      </c>
      <c r="K504" s="124"/>
      <c r="N504" s="124"/>
      <c r="Q504" s="124"/>
      <c r="S504" s="125"/>
      <c r="V504" s="125"/>
      <c r="Y504" s="125"/>
      <c r="AB504" s="126"/>
    </row>
    <row r="505">
      <c r="A505" s="102">
        <f t="shared" si="224"/>
        <v>211</v>
      </c>
      <c r="B505" s="145" t="s">
        <v>1621</v>
      </c>
      <c r="C505" s="145" t="s">
        <v>1621</v>
      </c>
      <c r="D505" s="145" t="s">
        <v>1621</v>
      </c>
      <c r="E505" s="145" t="s">
        <v>1621</v>
      </c>
      <c r="K505" s="124"/>
      <c r="N505" s="124"/>
      <c r="Q505" s="124"/>
      <c r="S505" s="125"/>
      <c r="V505" s="125"/>
      <c r="Y505" s="125"/>
      <c r="AB505" s="126"/>
    </row>
    <row r="506">
      <c r="A506" s="102">
        <f t="shared" si="224"/>
        <v>212</v>
      </c>
      <c r="B506" s="145" t="s">
        <v>1624</v>
      </c>
      <c r="C506" s="145" t="s">
        <v>1621</v>
      </c>
      <c r="D506" s="145" t="s">
        <v>1621</v>
      </c>
      <c r="E506" s="145" t="s">
        <v>1621</v>
      </c>
      <c r="K506" s="124"/>
      <c r="N506" s="124"/>
      <c r="Q506" s="124"/>
      <c r="S506" s="125"/>
      <c r="V506" s="125"/>
      <c r="Y506" s="125"/>
      <c r="AB506" s="126"/>
    </row>
    <row r="507">
      <c r="A507" s="102">
        <f t="shared" si="224"/>
        <v>213</v>
      </c>
      <c r="B507" s="145" t="s">
        <v>1621</v>
      </c>
      <c r="C507" s="145" t="s">
        <v>1621</v>
      </c>
      <c r="D507" s="145" t="s">
        <v>1621</v>
      </c>
      <c r="E507" s="145" t="s">
        <v>1624</v>
      </c>
      <c r="K507" s="124"/>
      <c r="N507" s="124"/>
      <c r="Q507" s="124"/>
      <c r="S507" s="125"/>
      <c r="V507" s="125"/>
      <c r="Y507" s="125"/>
      <c r="AB507" s="126"/>
    </row>
    <row r="508">
      <c r="A508" s="102">
        <f t="shared" si="224"/>
        <v>214</v>
      </c>
      <c r="B508" s="145" t="s">
        <v>1621</v>
      </c>
      <c r="C508" s="145" t="s">
        <v>1621</v>
      </c>
      <c r="D508" s="145" t="s">
        <v>1621</v>
      </c>
      <c r="E508" s="145" t="s">
        <v>1624</v>
      </c>
      <c r="K508" s="124"/>
      <c r="N508" s="124"/>
      <c r="Q508" s="124"/>
      <c r="S508" s="125"/>
      <c r="V508" s="125"/>
      <c r="Y508" s="125"/>
      <c r="AB508" s="126"/>
    </row>
    <row r="509">
      <c r="A509" s="102">
        <f t="shared" si="224"/>
        <v>215</v>
      </c>
      <c r="B509" s="145" t="s">
        <v>1624</v>
      </c>
      <c r="C509" s="145" t="s">
        <v>1621</v>
      </c>
      <c r="D509" s="145" t="s">
        <v>1624</v>
      </c>
      <c r="E509" s="145" t="s">
        <v>1621</v>
      </c>
      <c r="K509" s="124"/>
      <c r="N509" s="124"/>
      <c r="Q509" s="124"/>
      <c r="S509" s="125"/>
      <c r="V509" s="125"/>
      <c r="Y509" s="125"/>
      <c r="AB509" s="126"/>
    </row>
    <row r="510">
      <c r="A510" s="102">
        <f t="shared" si="224"/>
        <v>216</v>
      </c>
      <c r="B510" s="145" t="s">
        <v>1621</v>
      </c>
      <c r="C510" s="145" t="s">
        <v>1621</v>
      </c>
      <c r="D510" s="145" t="s">
        <v>1624</v>
      </c>
      <c r="E510" s="145" t="s">
        <v>1624</v>
      </c>
      <c r="K510" s="124"/>
      <c r="N510" s="124"/>
      <c r="Q510" s="124"/>
      <c r="S510" s="125"/>
      <c r="V510" s="125"/>
      <c r="Y510" s="125"/>
      <c r="AB510" s="126"/>
    </row>
    <row r="511">
      <c r="A511" s="102">
        <f t="shared" si="224"/>
        <v>217</v>
      </c>
      <c r="B511" s="145" t="s">
        <v>1621</v>
      </c>
      <c r="C511" s="145" t="s">
        <v>1621</v>
      </c>
      <c r="D511" s="145" t="s">
        <v>1621</v>
      </c>
      <c r="E511" s="145" t="s">
        <v>1621</v>
      </c>
      <c r="K511" s="124"/>
      <c r="N511" s="124"/>
      <c r="Q511" s="124"/>
      <c r="S511" s="125"/>
      <c r="V511" s="125"/>
      <c r="Y511" s="125"/>
      <c r="AB511" s="126"/>
    </row>
    <row r="512">
      <c r="A512" s="102">
        <f t="shared" si="224"/>
        <v>218</v>
      </c>
      <c r="B512" s="145" t="s">
        <v>1621</v>
      </c>
      <c r="C512" s="145" t="s">
        <v>1624</v>
      </c>
      <c r="D512" s="145" t="s">
        <v>1624</v>
      </c>
      <c r="E512" s="145" t="s">
        <v>1621</v>
      </c>
      <c r="K512" s="124"/>
      <c r="N512" s="124"/>
      <c r="Q512" s="124"/>
      <c r="S512" s="125"/>
      <c r="V512" s="125"/>
      <c r="Y512" s="125"/>
      <c r="AB512" s="126"/>
    </row>
    <row r="513">
      <c r="A513" s="102">
        <f t="shared" si="224"/>
        <v>219</v>
      </c>
      <c r="B513" s="145" t="s">
        <v>1624</v>
      </c>
      <c r="C513" s="145" t="s">
        <v>1624</v>
      </c>
      <c r="D513" s="145" t="s">
        <v>1621</v>
      </c>
      <c r="E513" s="145" t="s">
        <v>1634</v>
      </c>
      <c r="K513" s="124"/>
      <c r="N513" s="124"/>
      <c r="Q513" s="124"/>
      <c r="S513" s="125"/>
      <c r="V513" s="125"/>
      <c r="Y513" s="125"/>
      <c r="AB513" s="126"/>
    </row>
    <row r="514">
      <c r="A514" s="102">
        <f t="shared" si="224"/>
        <v>220</v>
      </c>
      <c r="B514" s="145" t="s">
        <v>1621</v>
      </c>
      <c r="C514" s="145" t="s">
        <v>1621</v>
      </c>
      <c r="D514" s="145" t="s">
        <v>1621</v>
      </c>
      <c r="E514" s="145" t="s">
        <v>1621</v>
      </c>
      <c r="K514" s="124"/>
      <c r="N514" s="124"/>
      <c r="Q514" s="124"/>
      <c r="S514" s="125"/>
      <c r="V514" s="125"/>
      <c r="Y514" s="125"/>
      <c r="AB514" s="126"/>
    </row>
    <row r="515">
      <c r="A515" s="102">
        <f t="shared" si="224"/>
        <v>221</v>
      </c>
      <c r="B515" s="145" t="s">
        <v>1621</v>
      </c>
      <c r="C515" s="145" t="s">
        <v>1624</v>
      </c>
      <c r="D515" s="145" t="s">
        <v>1621</v>
      </c>
      <c r="E515" s="145" t="s">
        <v>107</v>
      </c>
      <c r="K515" s="124"/>
      <c r="N515" s="124"/>
      <c r="Q515" s="124"/>
      <c r="S515" s="125"/>
      <c r="V515" s="125"/>
      <c r="Y515" s="125"/>
      <c r="AB515" s="126"/>
    </row>
    <row r="516">
      <c r="A516" s="102">
        <f t="shared" si="224"/>
        <v>222</v>
      </c>
      <c r="B516" s="145" t="s">
        <v>1621</v>
      </c>
      <c r="C516" s="145" t="s">
        <v>1621</v>
      </c>
      <c r="D516" s="145" t="s">
        <v>1621</v>
      </c>
      <c r="E516" s="145" t="s">
        <v>1621</v>
      </c>
      <c r="K516" s="124"/>
      <c r="N516" s="124"/>
      <c r="Q516" s="124"/>
      <c r="S516" s="125"/>
      <c r="V516" s="125"/>
      <c r="Y516" s="125"/>
      <c r="AB516" s="126"/>
    </row>
    <row r="517">
      <c r="A517" s="102">
        <f t="shared" si="224"/>
        <v>223</v>
      </c>
      <c r="B517" s="145" t="s">
        <v>1621</v>
      </c>
      <c r="C517" s="145" t="s">
        <v>1621</v>
      </c>
      <c r="D517" s="145" t="s">
        <v>107</v>
      </c>
      <c r="E517" s="145" t="s">
        <v>1621</v>
      </c>
      <c r="K517" s="124"/>
      <c r="N517" s="124"/>
      <c r="Q517" s="124"/>
      <c r="S517" s="125"/>
      <c r="V517" s="125"/>
      <c r="Y517" s="125"/>
      <c r="AB517" s="126"/>
    </row>
    <row r="518">
      <c r="A518" s="102">
        <f t="shared" si="224"/>
        <v>224</v>
      </c>
      <c r="B518" s="145" t="s">
        <v>1624</v>
      </c>
      <c r="C518" s="145" t="s">
        <v>1621</v>
      </c>
      <c r="D518" s="145" t="s">
        <v>1621</v>
      </c>
      <c r="E518" s="145" t="s">
        <v>1621</v>
      </c>
      <c r="K518" s="124"/>
      <c r="N518" s="124"/>
      <c r="Q518" s="124"/>
      <c r="S518" s="125"/>
      <c r="V518" s="125"/>
      <c r="Y518" s="125"/>
      <c r="AB518" s="126"/>
    </row>
    <row r="519">
      <c r="A519" s="102">
        <f t="shared" si="224"/>
        <v>225</v>
      </c>
      <c r="B519" s="145" t="s">
        <v>1621</v>
      </c>
      <c r="C519" s="145" t="s">
        <v>1621</v>
      </c>
      <c r="D519" s="145" t="s">
        <v>1621</v>
      </c>
      <c r="E519" s="145" t="s">
        <v>1624</v>
      </c>
      <c r="K519" s="124"/>
      <c r="N519" s="124"/>
      <c r="Q519" s="124"/>
      <c r="S519" s="125"/>
      <c r="V519" s="125"/>
      <c r="Y519" s="125"/>
      <c r="AB519" s="126"/>
    </row>
    <row r="520">
      <c r="A520" s="102">
        <f t="shared" si="224"/>
        <v>226</v>
      </c>
      <c r="B520" s="145" t="s">
        <v>1624</v>
      </c>
      <c r="C520" s="145" t="s">
        <v>107</v>
      </c>
      <c r="D520" s="145" t="s">
        <v>1621</v>
      </c>
      <c r="E520" s="145" t="s">
        <v>1621</v>
      </c>
      <c r="K520" s="124"/>
      <c r="N520" s="124"/>
      <c r="Q520" s="124"/>
      <c r="S520" s="125"/>
      <c r="V520" s="125"/>
      <c r="Y520" s="125"/>
      <c r="AB520" s="126"/>
    </row>
    <row r="521">
      <c r="A521" s="102">
        <f t="shared" si="224"/>
        <v>227</v>
      </c>
      <c r="B521" s="145" t="s">
        <v>1621</v>
      </c>
      <c r="C521" s="145" t="s">
        <v>1621</v>
      </c>
      <c r="D521" s="145" t="s">
        <v>1621</v>
      </c>
      <c r="E521" s="145" t="s">
        <v>1621</v>
      </c>
      <c r="K521" s="124"/>
      <c r="N521" s="124"/>
      <c r="Q521" s="124"/>
      <c r="S521" s="125"/>
      <c r="V521" s="125"/>
      <c r="Y521" s="125"/>
      <c r="AB521" s="126"/>
    </row>
    <row r="522">
      <c r="A522" s="102">
        <f t="shared" si="224"/>
        <v>228</v>
      </c>
      <c r="B522" s="145" t="s">
        <v>1621</v>
      </c>
      <c r="C522" s="145" t="s">
        <v>1621</v>
      </c>
      <c r="D522" s="145" t="s">
        <v>1624</v>
      </c>
      <c r="E522" s="145" t="s">
        <v>1624</v>
      </c>
      <c r="K522" s="124"/>
      <c r="N522" s="124"/>
      <c r="Q522" s="124"/>
      <c r="S522" s="125"/>
      <c r="V522" s="125"/>
      <c r="Y522" s="125"/>
      <c r="AB522" s="126"/>
    </row>
    <row r="523">
      <c r="A523" s="102">
        <f t="shared" si="224"/>
        <v>229</v>
      </c>
      <c r="B523" s="145" t="s">
        <v>1621</v>
      </c>
      <c r="C523" s="145" t="s">
        <v>1621</v>
      </c>
      <c r="D523" s="145" t="s">
        <v>1621</v>
      </c>
      <c r="E523" s="145" t="s">
        <v>1621</v>
      </c>
      <c r="K523" s="124"/>
      <c r="N523" s="124"/>
      <c r="Q523" s="124"/>
      <c r="S523" s="125"/>
      <c r="V523" s="125"/>
      <c r="Y523" s="125"/>
      <c r="AB523" s="126"/>
    </row>
    <row r="524">
      <c r="A524" s="102">
        <f t="shared" si="224"/>
        <v>230</v>
      </c>
      <c r="B524" s="145" t="s">
        <v>1621</v>
      </c>
      <c r="C524" s="145" t="s">
        <v>1621</v>
      </c>
      <c r="D524" s="145" t="s">
        <v>1621</v>
      </c>
      <c r="K524" s="124"/>
      <c r="N524" s="124"/>
      <c r="Q524" s="124"/>
      <c r="S524" s="125"/>
      <c r="V524" s="125"/>
      <c r="Y524" s="125"/>
      <c r="AB524" s="126"/>
    </row>
    <row r="525">
      <c r="A525" s="102">
        <f t="shared" si="224"/>
        <v>231</v>
      </c>
      <c r="B525" s="145" t="s">
        <v>107</v>
      </c>
      <c r="C525" s="145" t="s">
        <v>1624</v>
      </c>
      <c r="D525" s="145" t="s">
        <v>1624</v>
      </c>
      <c r="K525" s="124"/>
      <c r="N525" s="124"/>
      <c r="Q525" s="124"/>
      <c r="S525" s="125"/>
      <c r="V525" s="125"/>
      <c r="Y525" s="125"/>
      <c r="AB525" s="126"/>
    </row>
    <row r="526">
      <c r="A526" s="102">
        <f t="shared" si="224"/>
        <v>232</v>
      </c>
      <c r="B526" s="145" t="s">
        <v>1621</v>
      </c>
      <c r="C526" s="145" t="s">
        <v>1621</v>
      </c>
      <c r="D526" s="145" t="s">
        <v>1621</v>
      </c>
      <c r="K526" s="124"/>
      <c r="N526" s="124"/>
      <c r="Q526" s="124"/>
      <c r="S526" s="125"/>
      <c r="V526" s="125"/>
      <c r="Y526" s="125"/>
      <c r="AB526" s="126"/>
    </row>
    <row r="527">
      <c r="A527" s="102">
        <f t="shared" si="224"/>
        <v>233</v>
      </c>
      <c r="B527" s="145" t="s">
        <v>1621</v>
      </c>
      <c r="C527" s="145" t="s">
        <v>1621</v>
      </c>
      <c r="K527" s="124"/>
      <c r="N527" s="124"/>
      <c r="Q527" s="124"/>
      <c r="S527" s="125"/>
      <c r="V527" s="125"/>
      <c r="Y527" s="125"/>
      <c r="AB527" s="126"/>
    </row>
    <row r="528">
      <c r="A528" s="102">
        <f t="shared" si="224"/>
        <v>234</v>
      </c>
      <c r="B528" s="145" t="s">
        <v>1621</v>
      </c>
      <c r="C528" s="145" t="s">
        <v>1624</v>
      </c>
      <c r="K528" s="124"/>
      <c r="N528" s="124"/>
      <c r="Q528" s="124"/>
      <c r="S528" s="125"/>
      <c r="V528" s="125"/>
      <c r="Y528" s="125"/>
      <c r="AB528" s="126"/>
    </row>
    <row r="529">
      <c r="A529" s="102">
        <f t="shared" si="224"/>
        <v>235</v>
      </c>
      <c r="B529" s="145" t="s">
        <v>1621</v>
      </c>
      <c r="C529" s="145" t="s">
        <v>1621</v>
      </c>
      <c r="K529" s="124"/>
      <c r="N529" s="124"/>
      <c r="Q529" s="124"/>
      <c r="S529" s="125"/>
      <c r="V529" s="125"/>
      <c r="Y529" s="125"/>
      <c r="AB529" s="126"/>
    </row>
    <row r="530">
      <c r="A530" s="102">
        <f t="shared" si="224"/>
        <v>236</v>
      </c>
      <c r="B530" s="145" t="s">
        <v>1624</v>
      </c>
      <c r="K530" s="124"/>
      <c r="N530" s="124"/>
      <c r="Q530" s="124"/>
      <c r="S530" s="125"/>
      <c r="V530" s="125"/>
      <c r="Y530" s="125"/>
      <c r="AB530" s="126"/>
    </row>
    <row r="531">
      <c r="A531" s="102">
        <f t="shared" si="224"/>
        <v>237</v>
      </c>
      <c r="B531" s="145" t="s">
        <v>1621</v>
      </c>
      <c r="K531" s="124"/>
      <c r="N531" s="124"/>
      <c r="Q531" s="124"/>
      <c r="S531" s="125"/>
      <c r="V531" s="125"/>
      <c r="Y531" s="125"/>
      <c r="AB531" s="126"/>
    </row>
    <row r="532">
      <c r="A532" s="102">
        <f t="shared" si="224"/>
        <v>238</v>
      </c>
      <c r="B532" s="145" t="s">
        <v>1621</v>
      </c>
      <c r="K532" s="124"/>
      <c r="N532" s="124"/>
      <c r="Q532" s="124"/>
      <c r="S532" s="125"/>
      <c r="V532" s="125"/>
      <c r="Y532" s="125"/>
      <c r="AB532" s="126"/>
    </row>
    <row r="533">
      <c r="A533" s="102">
        <f t="shared" si="224"/>
        <v>239</v>
      </c>
      <c r="B533" s="145" t="s">
        <v>1624</v>
      </c>
      <c r="K533" s="124"/>
      <c r="N533" s="124"/>
      <c r="Q533" s="124"/>
      <c r="S533" s="125"/>
      <c r="V533" s="125"/>
      <c r="Y533" s="125"/>
      <c r="AB533" s="126"/>
    </row>
    <row r="534">
      <c r="A534" s="102">
        <f t="shared" si="224"/>
        <v>240</v>
      </c>
      <c r="B534" s="145" t="s">
        <v>1621</v>
      </c>
      <c r="K534" s="124"/>
      <c r="N534" s="124"/>
      <c r="Q534" s="124"/>
      <c r="S534" s="125"/>
      <c r="V534" s="125"/>
      <c r="Y534" s="125"/>
      <c r="AB534" s="126"/>
    </row>
    <row r="535">
      <c r="A535" s="7" t="s">
        <v>1691</v>
      </c>
      <c r="K535" s="124"/>
      <c r="N535" s="124"/>
      <c r="Q535" s="124"/>
      <c r="S535" s="125"/>
      <c r="V535" s="125"/>
      <c r="Y535" s="125"/>
      <c r="AB535" s="126"/>
    </row>
    <row r="536">
      <c r="A536" s="7" t="s">
        <v>1692</v>
      </c>
      <c r="K536" s="124"/>
      <c r="N536" s="124"/>
      <c r="Q536" s="124"/>
      <c r="S536" s="125"/>
      <c r="V536" s="125"/>
      <c r="Y536" s="125"/>
      <c r="AB536" s="126"/>
    </row>
    <row r="537">
      <c r="K537" s="124"/>
      <c r="N537" s="124"/>
      <c r="Q537" s="124"/>
      <c r="S537" s="125"/>
      <c r="V537" s="125"/>
      <c r="Y537" s="125"/>
      <c r="AB537" s="126"/>
    </row>
  </sheetData>
  <mergeCells count="26">
    <mergeCell ref="A4:AD4"/>
    <mergeCell ref="A5:AD5"/>
    <mergeCell ref="A11:AD11"/>
    <mergeCell ref="A26:AD26"/>
    <mergeCell ref="A41:AD41"/>
    <mergeCell ref="A56:AD56"/>
    <mergeCell ref="A71:AD71"/>
    <mergeCell ref="A86:AD86"/>
    <mergeCell ref="A101:AD101"/>
    <mergeCell ref="A116:AD116"/>
    <mergeCell ref="A131:AD131"/>
    <mergeCell ref="A146:AD146"/>
    <mergeCell ref="A161:AD161"/>
    <mergeCell ref="A176:AD176"/>
    <mergeCell ref="A267:AD267"/>
    <mergeCell ref="A268:AD268"/>
    <mergeCell ref="A274:AD274"/>
    <mergeCell ref="A280:AD280"/>
    <mergeCell ref="A286:AD286"/>
    <mergeCell ref="A191:AD191"/>
    <mergeCell ref="A206:AD206"/>
    <mergeCell ref="A221:AD221"/>
    <mergeCell ref="A236:AD236"/>
    <mergeCell ref="A238:AD238"/>
    <mergeCell ref="A239:AD239"/>
    <mergeCell ref="A253:AD253"/>
  </mergeCells>
  <conditionalFormatting sqref="B295:B534 C295:C529 D295:D526 E295:E523 J295:J301">
    <cfRule type="cellIs" dxfId="0" priority="1" operator="equal">
      <formula>"Silver"</formula>
    </cfRule>
  </conditionalFormatting>
  <conditionalFormatting sqref="B295:B534 C295:C529 D295:D526 E295:E523 J295:J301">
    <cfRule type="cellIs" dxfId="1" priority="2" operator="equal">
      <formula>"Golden"</formula>
    </cfRule>
  </conditionalFormatting>
  <conditionalFormatting sqref="B295:B534 C295:C529 D295:D526 E295:E523 J295:J301">
    <cfRule type="cellIs" dxfId="2" priority="3" operator="equal">
      <formula>"Magical"</formula>
    </cfRule>
  </conditionalFormatting>
  <conditionalFormatting sqref="B295:B534 C295:C529 D295:D526 E295:E523 J295:J301">
    <cfRule type="cellIs" dxfId="3" priority="4" operator="equal">
      <formula>"Giant"</formula>
    </cfRule>
  </conditionalFormatting>
  <conditionalFormatting sqref="E326:H381">
    <cfRule type="cellIs" dxfId="4" priority="5" operator="equal">
      <formula>"Golden"</formula>
    </cfRule>
  </conditionalFormatting>
  <conditionalFormatting sqref="E326:H381">
    <cfRule type="cellIs" dxfId="5" priority="6" operator="equal">
      <formula>"Magical"</formula>
    </cfRule>
  </conditionalFormatting>
  <conditionalFormatting sqref="E326:H381">
    <cfRule type="cellIs" dxfId="6" priority="7" operator="equal">
      <formula>"Giant"</formula>
    </cfRule>
  </conditionalFormatting>
  <conditionalFormatting sqref="E326:H381">
    <cfRule type="cellIs" dxfId="7" priority="8" operator="equal">
      <formula>"Epic"</formula>
    </cfRule>
  </conditionalFormatting>
  <conditionalFormatting sqref="E326:H381">
    <cfRule type="cellIs" dxfId="8" priority="9" operator="equal">
      <formula>"Legendary"</formula>
    </cfRule>
  </conditionalFormatting>
  <conditionalFormatting sqref="E326:H381">
    <cfRule type="cellIs" dxfId="9" priority="10" operator="equal">
      <formula>"Mega Lightning"</formula>
    </cfRule>
  </conditionalFormatting>
  <conditionalFormatting sqref="B295:B534 C295:C529 D295:D526 E295:E523 J295:J301">
    <cfRule type="cellIs" dxfId="10" priority="11" operator="equal">
      <formula>"Crate"</formula>
    </cfRule>
  </conditionalFormatting>
  <conditionalFormatting sqref="B295:B534 C295:C529 D295:D526 E295:E523 J295:J301">
    <cfRule type="cellIs" dxfId="11" priority="12" operator="equal">
      <formula>"Plentiful Crate"</formula>
    </cfRule>
  </conditionalFormatting>
  <conditionalFormatting sqref="B295:B534 C295:C529 D295:D526 E295:E523 J295:J301">
    <cfRule type="cellIs" dxfId="12" priority="13" operator="equal">
      <formula>"Overflowing Crate"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8.86"/>
    <col customWidth="1" min="3" max="3" width="10.57"/>
    <col customWidth="1" min="4" max="4" width="18.14"/>
    <col customWidth="1" min="5" max="5" width="16.14"/>
    <col customWidth="1" min="6" max="6" width="10.57"/>
    <col customWidth="1" min="7" max="7" width="20.14"/>
    <col customWidth="1" min="8" max="8" width="23.86"/>
  </cols>
  <sheetData>
    <row r="1">
      <c r="A1" s="150" t="s">
        <v>1693</v>
      </c>
      <c r="C1" s="24"/>
      <c r="D1" s="151"/>
      <c r="E1" s="24"/>
      <c r="F1" s="24"/>
      <c r="G1" s="10"/>
      <c r="H1" s="10"/>
      <c r="I1" s="10"/>
    </row>
    <row r="2">
      <c r="A2" s="152" t="s">
        <v>1694</v>
      </c>
      <c r="C2" s="24"/>
      <c r="D2" s="151"/>
      <c r="E2" s="24"/>
      <c r="F2" s="24"/>
      <c r="G2" s="10"/>
      <c r="H2" s="10"/>
      <c r="I2" s="10"/>
    </row>
    <row r="3">
      <c r="A3" s="11" t="s">
        <v>1695</v>
      </c>
      <c r="B3" s="11" t="s">
        <v>1696</v>
      </c>
      <c r="C3" s="11" t="s">
        <v>1697</v>
      </c>
      <c r="D3" s="153" t="s">
        <v>1698</v>
      </c>
      <c r="E3" s="11" t="s">
        <v>1699</v>
      </c>
      <c r="F3" s="11" t="s">
        <v>1700</v>
      </c>
      <c r="G3" s="11" t="s">
        <v>1701</v>
      </c>
      <c r="H3" s="11" t="s">
        <v>1702</v>
      </c>
      <c r="I3" s="10"/>
    </row>
    <row r="4">
      <c r="A4" s="18" t="s">
        <v>1703</v>
      </c>
      <c r="B4" s="18">
        <v>0.0</v>
      </c>
      <c r="C4" s="18">
        <v>1.0</v>
      </c>
      <c r="D4" s="154">
        <v>12.0</v>
      </c>
      <c r="E4" s="18" t="s">
        <v>115</v>
      </c>
      <c r="F4" s="18">
        <v>1.0</v>
      </c>
      <c r="G4" s="155">
        <f>0.4*2400</f>
        <v>960</v>
      </c>
      <c r="H4" s="155">
        <f>0.4*1400</f>
        <v>560</v>
      </c>
      <c r="I4" s="10"/>
    </row>
    <row r="5">
      <c r="A5" s="16" t="s">
        <v>1704</v>
      </c>
      <c r="B5" s="16">
        <v>0.0</v>
      </c>
      <c r="C5" s="16">
        <v>1.0</v>
      </c>
      <c r="D5" s="156">
        <v>12.0</v>
      </c>
      <c r="E5" s="18" t="s">
        <v>115</v>
      </c>
      <c r="F5" s="18">
        <v>1.0</v>
      </c>
      <c r="G5" s="157">
        <f>0.6*2400</f>
        <v>1440</v>
      </c>
      <c r="H5" s="157">
        <f>0.6*1400</f>
        <v>840</v>
      </c>
      <c r="I5" s="10"/>
    </row>
    <row r="6">
      <c r="A6" s="22"/>
      <c r="B6" s="22"/>
      <c r="C6" s="22"/>
      <c r="D6" s="22"/>
      <c r="E6" s="18" t="s">
        <v>97</v>
      </c>
      <c r="F6" s="18">
        <v>1.0</v>
      </c>
      <c r="G6" s="22"/>
      <c r="H6" s="22"/>
      <c r="I6" s="10"/>
    </row>
    <row r="7">
      <c r="A7" s="16" t="s">
        <v>1705</v>
      </c>
      <c r="B7" s="16">
        <v>0.0</v>
      </c>
      <c r="C7" s="16">
        <v>1.0</v>
      </c>
      <c r="D7" s="156">
        <v>10.0</v>
      </c>
      <c r="E7" s="18" t="s">
        <v>97</v>
      </c>
      <c r="F7" s="18">
        <v>1.0</v>
      </c>
      <c r="G7" s="157">
        <f>0.6*2400</f>
        <v>1440</v>
      </c>
      <c r="H7" s="157">
        <f>0.6*1400</f>
        <v>840</v>
      </c>
      <c r="I7" s="10"/>
    </row>
    <row r="8">
      <c r="A8" s="21"/>
      <c r="B8" s="21"/>
      <c r="C8" s="21"/>
      <c r="D8" s="21"/>
      <c r="E8" s="18" t="s">
        <v>115</v>
      </c>
      <c r="F8" s="18">
        <v>1.0</v>
      </c>
      <c r="G8" s="21"/>
      <c r="H8" s="21"/>
      <c r="I8" s="10"/>
    </row>
    <row r="9">
      <c r="A9" s="22"/>
      <c r="B9" s="22"/>
      <c r="C9" s="22"/>
      <c r="D9" s="22"/>
      <c r="E9" s="18" t="s">
        <v>125</v>
      </c>
      <c r="F9" s="18">
        <v>1.0</v>
      </c>
      <c r="G9" s="22"/>
      <c r="H9" s="22"/>
      <c r="I9" s="10"/>
    </row>
    <row r="10">
      <c r="A10" s="16" t="s">
        <v>1706</v>
      </c>
      <c r="B10" s="16">
        <v>0.0</v>
      </c>
      <c r="C10" s="16">
        <v>1.0</v>
      </c>
      <c r="D10" s="156">
        <v>6.0</v>
      </c>
      <c r="E10" s="18" t="s">
        <v>97</v>
      </c>
      <c r="F10" s="18">
        <v>1.0</v>
      </c>
      <c r="G10" s="157">
        <f>0.8*2400</f>
        <v>1920</v>
      </c>
      <c r="H10" s="157">
        <f>0.8*1400</f>
        <v>1120</v>
      </c>
      <c r="I10" s="10"/>
    </row>
    <row r="11">
      <c r="A11" s="21"/>
      <c r="B11" s="21"/>
      <c r="C11" s="21"/>
      <c r="D11" s="21"/>
      <c r="E11" s="18" t="s">
        <v>115</v>
      </c>
      <c r="F11" s="18">
        <v>1.0</v>
      </c>
      <c r="G11" s="21"/>
      <c r="H11" s="21"/>
      <c r="I11" s="10"/>
    </row>
    <row r="12">
      <c r="A12" s="21"/>
      <c r="B12" s="21"/>
      <c r="C12" s="21"/>
      <c r="D12" s="21"/>
      <c r="E12" s="18" t="s">
        <v>125</v>
      </c>
      <c r="F12" s="18">
        <v>1.0</v>
      </c>
      <c r="G12" s="21"/>
      <c r="H12" s="21"/>
      <c r="I12" s="10"/>
    </row>
    <row r="13">
      <c r="A13" s="21"/>
      <c r="B13" s="21"/>
      <c r="C13" s="21"/>
      <c r="D13" s="21"/>
      <c r="E13" s="18" t="s">
        <v>93</v>
      </c>
      <c r="F13" s="18">
        <v>1.0</v>
      </c>
      <c r="G13" s="21"/>
      <c r="H13" s="21"/>
      <c r="I13" s="10"/>
    </row>
    <row r="14">
      <c r="A14" s="22"/>
      <c r="B14" s="22"/>
      <c r="C14" s="22"/>
      <c r="D14" s="22"/>
      <c r="E14" s="18" t="s">
        <v>123</v>
      </c>
      <c r="F14" s="18">
        <v>1.0</v>
      </c>
      <c r="G14" s="22"/>
      <c r="H14" s="22"/>
      <c r="I14" s="10"/>
    </row>
    <row r="15">
      <c r="A15" s="16" t="s">
        <v>1707</v>
      </c>
      <c r="B15" s="16">
        <v>0.0</v>
      </c>
      <c r="C15" s="16">
        <v>1.0</v>
      </c>
      <c r="D15" s="156">
        <v>5.0</v>
      </c>
      <c r="E15" s="18" t="s">
        <v>97</v>
      </c>
      <c r="F15" s="18">
        <v>1.0</v>
      </c>
      <c r="G15" s="16">
        <v>2400.0</v>
      </c>
      <c r="H15" s="16">
        <v>1400.0</v>
      </c>
      <c r="I15" s="10"/>
    </row>
    <row r="16">
      <c r="A16" s="21"/>
      <c r="B16" s="21"/>
      <c r="C16" s="21"/>
      <c r="D16" s="21"/>
      <c r="E16" s="18" t="s">
        <v>115</v>
      </c>
      <c r="F16" s="18">
        <v>2.0</v>
      </c>
      <c r="G16" s="21"/>
      <c r="H16" s="21"/>
      <c r="I16" s="10"/>
    </row>
    <row r="17">
      <c r="A17" s="21"/>
      <c r="B17" s="21"/>
      <c r="C17" s="21"/>
      <c r="D17" s="21"/>
      <c r="E17" s="18" t="s">
        <v>125</v>
      </c>
      <c r="F17" s="18">
        <v>1.0</v>
      </c>
      <c r="G17" s="21"/>
      <c r="H17" s="21"/>
      <c r="I17" s="10"/>
    </row>
    <row r="18">
      <c r="A18" s="21"/>
      <c r="B18" s="21"/>
      <c r="C18" s="21"/>
      <c r="D18" s="21"/>
      <c r="E18" s="18" t="s">
        <v>93</v>
      </c>
      <c r="F18" s="18">
        <v>2.0</v>
      </c>
      <c r="G18" s="21"/>
      <c r="H18" s="21"/>
      <c r="I18" s="10"/>
    </row>
    <row r="19">
      <c r="A19" s="21"/>
      <c r="B19" s="21"/>
      <c r="C19" s="21"/>
      <c r="D19" s="21"/>
      <c r="E19" s="18" t="s">
        <v>123</v>
      </c>
      <c r="F19" s="18">
        <v>1.0</v>
      </c>
      <c r="G19" s="21"/>
      <c r="H19" s="21"/>
      <c r="I19" s="10"/>
    </row>
    <row r="20">
      <c r="A20" s="21"/>
      <c r="B20" s="21"/>
      <c r="C20" s="21"/>
      <c r="D20" s="21"/>
      <c r="E20" s="18" t="s">
        <v>82</v>
      </c>
      <c r="F20" s="18">
        <v>1.0</v>
      </c>
      <c r="G20" s="21"/>
      <c r="H20" s="21"/>
      <c r="I20" s="10"/>
    </row>
    <row r="21">
      <c r="A21" s="21"/>
      <c r="B21" s="21"/>
      <c r="C21" s="21"/>
      <c r="D21" s="21"/>
      <c r="E21" s="18" t="s">
        <v>100</v>
      </c>
      <c r="F21" s="18">
        <v>3.0</v>
      </c>
      <c r="G21" s="21"/>
      <c r="H21" s="21"/>
      <c r="I21" s="10"/>
    </row>
    <row r="22">
      <c r="A22" s="22"/>
      <c r="B22" s="22"/>
      <c r="C22" s="22"/>
      <c r="D22" s="22"/>
      <c r="E22" s="16" t="s">
        <v>107</v>
      </c>
      <c r="F22" s="16">
        <v>3.0</v>
      </c>
      <c r="G22" s="22"/>
      <c r="H22" s="22"/>
      <c r="I22" s="10"/>
    </row>
    <row r="23">
      <c r="A23" s="158"/>
      <c r="B23" s="158"/>
      <c r="C23" s="158"/>
      <c r="D23" s="159"/>
      <c r="E23" s="158"/>
      <c r="F23" s="158"/>
      <c r="G23" s="160"/>
      <c r="H23" s="160"/>
      <c r="I23" s="160"/>
    </row>
    <row r="24">
      <c r="A24" s="152" t="s">
        <v>1708</v>
      </c>
      <c r="B24" s="150"/>
      <c r="C24" s="150"/>
      <c r="D24" s="161"/>
      <c r="E24" s="150"/>
      <c r="F24" s="150"/>
      <c r="G24" s="160"/>
      <c r="H24" s="160"/>
      <c r="I24" s="160"/>
    </row>
    <row r="25">
      <c r="A25" s="11" t="s">
        <v>1695</v>
      </c>
      <c r="B25" s="11" t="s">
        <v>1696</v>
      </c>
      <c r="C25" s="11" t="s">
        <v>1697</v>
      </c>
      <c r="D25" s="153" t="s">
        <v>1698</v>
      </c>
      <c r="E25" s="11" t="s">
        <v>1699</v>
      </c>
      <c r="F25" s="11" t="s">
        <v>1700</v>
      </c>
      <c r="G25" s="160"/>
      <c r="H25" s="160"/>
      <c r="I25" s="160"/>
    </row>
    <row r="26">
      <c r="A26" s="162" t="s">
        <v>1709</v>
      </c>
      <c r="B26" s="162">
        <v>50.0</v>
      </c>
      <c r="C26" s="162">
        <v>2.0</v>
      </c>
      <c r="D26" s="163">
        <v>5.0</v>
      </c>
      <c r="E26" s="164" t="s">
        <v>97</v>
      </c>
      <c r="F26" s="164">
        <v>2.0</v>
      </c>
      <c r="G26" s="10"/>
      <c r="H26" s="10"/>
      <c r="I26" s="10"/>
    </row>
    <row r="27">
      <c r="A27" s="21"/>
      <c r="B27" s="21"/>
      <c r="C27" s="21"/>
      <c r="D27" s="21"/>
      <c r="E27" s="18" t="s">
        <v>93</v>
      </c>
      <c r="F27" s="18">
        <v>2.0</v>
      </c>
      <c r="G27" s="10"/>
      <c r="H27" s="10"/>
      <c r="I27" s="10"/>
    </row>
    <row r="28">
      <c r="A28" s="21"/>
      <c r="B28" s="21"/>
      <c r="C28" s="21"/>
      <c r="D28" s="21"/>
      <c r="E28" s="18" t="s">
        <v>115</v>
      </c>
      <c r="F28" s="18">
        <v>2.0</v>
      </c>
      <c r="G28" s="10"/>
      <c r="H28" s="10"/>
      <c r="I28" s="10"/>
    </row>
    <row r="29">
      <c r="A29" s="21"/>
      <c r="B29" s="21"/>
      <c r="C29" s="21"/>
      <c r="D29" s="21"/>
      <c r="E29" s="18" t="s">
        <v>113</v>
      </c>
      <c r="F29" s="18">
        <v>2.0</v>
      </c>
      <c r="G29" s="10"/>
      <c r="H29" s="10"/>
      <c r="I29" s="10"/>
    </row>
    <row r="30">
      <c r="A30" s="21"/>
      <c r="B30" s="21"/>
      <c r="C30" s="21"/>
      <c r="D30" s="21"/>
      <c r="E30" s="18" t="s">
        <v>107</v>
      </c>
      <c r="F30" s="18">
        <v>3.0</v>
      </c>
      <c r="G30" s="10"/>
      <c r="H30" s="10"/>
      <c r="I30" s="10"/>
    </row>
    <row r="31">
      <c r="A31" s="21"/>
      <c r="B31" s="21"/>
      <c r="C31" s="21"/>
      <c r="D31" s="21"/>
      <c r="E31" s="18" t="s">
        <v>230</v>
      </c>
      <c r="F31" s="18">
        <v>3.0</v>
      </c>
      <c r="G31" s="10"/>
      <c r="H31" s="10"/>
      <c r="I31" s="10"/>
    </row>
    <row r="32">
      <c r="A32" s="21"/>
      <c r="B32" s="21"/>
      <c r="C32" s="21"/>
      <c r="D32" s="21"/>
      <c r="E32" s="18" t="s">
        <v>100</v>
      </c>
      <c r="F32" s="18">
        <v>4.0</v>
      </c>
      <c r="G32" s="10"/>
      <c r="H32" s="10"/>
      <c r="I32" s="10"/>
    </row>
    <row r="33">
      <c r="A33" s="22"/>
      <c r="B33" s="22"/>
      <c r="C33" s="22"/>
      <c r="D33" s="22"/>
      <c r="E33" s="18" t="s">
        <v>130</v>
      </c>
      <c r="F33" s="18">
        <v>6.0</v>
      </c>
      <c r="G33" s="10"/>
      <c r="H33" s="10"/>
      <c r="I33" s="10"/>
    </row>
    <row r="34">
      <c r="A34" s="16" t="s">
        <v>1710</v>
      </c>
      <c r="B34" s="16">
        <v>150.0</v>
      </c>
      <c r="C34" s="16">
        <v>2.0</v>
      </c>
      <c r="D34" s="156">
        <v>4.0</v>
      </c>
      <c r="E34" s="18" t="s">
        <v>97</v>
      </c>
      <c r="F34" s="18">
        <v>2.0</v>
      </c>
      <c r="G34" s="10"/>
      <c r="H34" s="10"/>
      <c r="I34" s="10"/>
    </row>
    <row r="35">
      <c r="A35" s="21"/>
      <c r="B35" s="21"/>
      <c r="C35" s="21"/>
      <c r="D35" s="21"/>
      <c r="E35" s="18" t="s">
        <v>93</v>
      </c>
      <c r="F35" s="18">
        <v>2.0</v>
      </c>
      <c r="G35" s="10"/>
      <c r="H35" s="10"/>
      <c r="I35" s="10"/>
    </row>
    <row r="36">
      <c r="A36" s="21"/>
      <c r="B36" s="21"/>
      <c r="C36" s="21"/>
      <c r="D36" s="21"/>
      <c r="E36" s="18" t="s">
        <v>115</v>
      </c>
      <c r="F36" s="18">
        <v>2.0</v>
      </c>
      <c r="G36" s="10"/>
      <c r="H36" s="10"/>
      <c r="I36" s="10"/>
    </row>
    <row r="37">
      <c r="A37" s="21"/>
      <c r="B37" s="21"/>
      <c r="C37" s="21"/>
      <c r="D37" s="21"/>
      <c r="E37" s="18" t="s">
        <v>113</v>
      </c>
      <c r="F37" s="18">
        <v>3.0</v>
      </c>
      <c r="G37" s="10"/>
      <c r="H37" s="10"/>
      <c r="I37" s="10"/>
    </row>
    <row r="38">
      <c r="A38" s="21"/>
      <c r="B38" s="21"/>
      <c r="C38" s="21"/>
      <c r="D38" s="21"/>
      <c r="E38" s="18" t="s">
        <v>107</v>
      </c>
      <c r="F38" s="18">
        <v>3.0</v>
      </c>
      <c r="G38" s="10"/>
      <c r="H38" s="10"/>
      <c r="I38" s="10"/>
    </row>
    <row r="39">
      <c r="A39" s="21"/>
      <c r="B39" s="21"/>
      <c r="C39" s="21"/>
      <c r="D39" s="21"/>
      <c r="E39" s="18" t="s">
        <v>230</v>
      </c>
      <c r="F39" s="18">
        <v>3.0</v>
      </c>
      <c r="G39" s="10"/>
      <c r="H39" s="10"/>
      <c r="I39" s="10"/>
    </row>
    <row r="40">
      <c r="A40" s="21"/>
      <c r="B40" s="21"/>
      <c r="C40" s="21"/>
      <c r="D40" s="21"/>
      <c r="E40" s="18" t="s">
        <v>82</v>
      </c>
      <c r="F40" s="18">
        <v>3.0</v>
      </c>
      <c r="G40" s="10"/>
      <c r="H40" s="10"/>
      <c r="I40" s="10"/>
    </row>
    <row r="41">
      <c r="A41" s="22"/>
      <c r="B41" s="22"/>
      <c r="C41" s="22"/>
      <c r="D41" s="22"/>
      <c r="E41" s="18" t="s">
        <v>132</v>
      </c>
      <c r="F41" s="18">
        <v>6.0</v>
      </c>
      <c r="G41" s="10"/>
      <c r="H41" s="10"/>
      <c r="I41" s="10"/>
    </row>
    <row r="42">
      <c r="A42" s="16" t="s">
        <v>1711</v>
      </c>
      <c r="B42" s="16">
        <v>300.0</v>
      </c>
      <c r="C42" s="16">
        <v>2.0</v>
      </c>
      <c r="D42" s="156">
        <v>3.0</v>
      </c>
      <c r="E42" s="18" t="s">
        <v>97</v>
      </c>
      <c r="F42" s="18">
        <v>3.0</v>
      </c>
      <c r="G42" s="10"/>
      <c r="H42" s="10"/>
      <c r="I42" s="10"/>
    </row>
    <row r="43">
      <c r="A43" s="21"/>
      <c r="B43" s="21"/>
      <c r="C43" s="21"/>
      <c r="D43" s="21"/>
      <c r="E43" s="18" t="s">
        <v>93</v>
      </c>
      <c r="F43" s="18">
        <v>3.0</v>
      </c>
      <c r="G43" s="10"/>
      <c r="H43" s="10"/>
      <c r="I43" s="10"/>
    </row>
    <row r="44">
      <c r="A44" s="21"/>
      <c r="B44" s="21"/>
      <c r="C44" s="21"/>
      <c r="D44" s="21"/>
      <c r="E44" s="18" t="s">
        <v>115</v>
      </c>
      <c r="F44" s="18">
        <v>2.0</v>
      </c>
      <c r="G44" s="10"/>
      <c r="H44" s="10"/>
      <c r="I44" s="10"/>
    </row>
    <row r="45">
      <c r="A45" s="21"/>
      <c r="B45" s="21"/>
      <c r="C45" s="21"/>
      <c r="D45" s="21"/>
      <c r="E45" s="18" t="s">
        <v>125</v>
      </c>
      <c r="F45" s="18">
        <v>2.0</v>
      </c>
      <c r="G45" s="10"/>
      <c r="H45" s="10"/>
      <c r="I45" s="10"/>
    </row>
    <row r="46">
      <c r="A46" s="21"/>
      <c r="B46" s="21"/>
      <c r="C46" s="21"/>
      <c r="D46" s="21"/>
      <c r="E46" s="18" t="s">
        <v>214</v>
      </c>
      <c r="F46" s="18">
        <v>6.0</v>
      </c>
      <c r="G46" s="10"/>
      <c r="H46" s="10"/>
      <c r="I46" s="10"/>
    </row>
    <row r="47">
      <c r="A47" s="21"/>
      <c r="B47" s="21"/>
      <c r="C47" s="21"/>
      <c r="D47" s="21"/>
      <c r="E47" s="18" t="s">
        <v>113</v>
      </c>
      <c r="F47" s="18">
        <v>3.0</v>
      </c>
      <c r="G47" s="10"/>
      <c r="H47" s="10"/>
      <c r="I47" s="10"/>
    </row>
    <row r="48">
      <c r="A48" s="21"/>
      <c r="B48" s="21"/>
      <c r="C48" s="21"/>
      <c r="D48" s="21"/>
      <c r="E48" s="18" t="s">
        <v>82</v>
      </c>
      <c r="F48" s="18">
        <v>3.0</v>
      </c>
      <c r="G48" s="10"/>
      <c r="H48" s="10"/>
      <c r="I48" s="10"/>
    </row>
    <row r="49">
      <c r="A49" s="22"/>
      <c r="B49" s="22"/>
      <c r="C49" s="22"/>
      <c r="D49" s="22"/>
      <c r="E49" s="18" t="s">
        <v>100</v>
      </c>
      <c r="F49" s="18">
        <v>3.0</v>
      </c>
      <c r="G49" s="10"/>
      <c r="H49" s="10"/>
      <c r="I49" s="10"/>
    </row>
    <row r="50">
      <c r="A50" s="16" t="s">
        <v>1712</v>
      </c>
      <c r="B50" s="16">
        <v>450.0</v>
      </c>
      <c r="C50" s="16">
        <v>3.0</v>
      </c>
      <c r="D50" s="156">
        <v>3.0</v>
      </c>
      <c r="E50" s="18" t="s">
        <v>129</v>
      </c>
      <c r="F50" s="18">
        <v>3.0</v>
      </c>
      <c r="G50" s="10"/>
      <c r="H50" s="10"/>
      <c r="I50" s="10"/>
    </row>
    <row r="51">
      <c r="A51" s="21"/>
      <c r="B51" s="21"/>
      <c r="C51" s="21"/>
      <c r="D51" s="21"/>
      <c r="E51" s="18" t="s">
        <v>93</v>
      </c>
      <c r="F51" s="18">
        <v>3.0</v>
      </c>
      <c r="G51" s="10"/>
      <c r="H51" s="10"/>
      <c r="I51" s="10"/>
    </row>
    <row r="52">
      <c r="A52" s="21"/>
      <c r="B52" s="21"/>
      <c r="C52" s="21"/>
      <c r="D52" s="21"/>
      <c r="E52" s="18" t="s">
        <v>190</v>
      </c>
      <c r="F52" s="18">
        <v>6.0</v>
      </c>
      <c r="G52" s="10"/>
      <c r="H52" s="10"/>
      <c r="I52" s="10"/>
    </row>
    <row r="53">
      <c r="A53" s="21"/>
      <c r="B53" s="21"/>
      <c r="C53" s="21"/>
      <c r="D53" s="21"/>
      <c r="E53" s="18" t="s">
        <v>125</v>
      </c>
      <c r="F53" s="18">
        <v>3.0</v>
      </c>
      <c r="G53" s="10"/>
      <c r="H53" s="10"/>
      <c r="I53" s="10"/>
    </row>
    <row r="54">
      <c r="A54" s="21"/>
      <c r="B54" s="21"/>
      <c r="C54" s="21"/>
      <c r="D54" s="21"/>
      <c r="E54" s="18" t="s">
        <v>123</v>
      </c>
      <c r="F54" s="18">
        <v>3.0</v>
      </c>
      <c r="G54" s="10"/>
      <c r="H54" s="10"/>
      <c r="I54" s="10"/>
    </row>
    <row r="55">
      <c r="A55" s="21"/>
      <c r="B55" s="21"/>
      <c r="C55" s="21"/>
      <c r="D55" s="21"/>
      <c r="E55" s="18" t="s">
        <v>86</v>
      </c>
      <c r="F55" s="18">
        <v>3.0</v>
      </c>
      <c r="G55" s="10"/>
      <c r="H55" s="10"/>
      <c r="I55" s="10"/>
    </row>
    <row r="56">
      <c r="A56" s="21"/>
      <c r="B56" s="21"/>
      <c r="C56" s="21"/>
      <c r="D56" s="21"/>
      <c r="E56" s="18" t="s">
        <v>97</v>
      </c>
      <c r="F56" s="18">
        <v>3.0</v>
      </c>
      <c r="G56" s="10"/>
      <c r="H56" s="10"/>
      <c r="I56" s="10"/>
    </row>
    <row r="57">
      <c r="A57" s="22"/>
      <c r="B57" s="22"/>
      <c r="C57" s="22"/>
      <c r="D57" s="22"/>
      <c r="E57" s="18" t="s">
        <v>100</v>
      </c>
      <c r="F57" s="18">
        <v>4.0</v>
      </c>
      <c r="G57" s="10"/>
      <c r="H57" s="10"/>
      <c r="I57" s="10"/>
    </row>
    <row r="58">
      <c r="A58" s="16" t="s">
        <v>1713</v>
      </c>
      <c r="B58" s="16">
        <v>600.0</v>
      </c>
      <c r="C58" s="16">
        <v>3.0</v>
      </c>
      <c r="D58" s="156">
        <v>3.0</v>
      </c>
      <c r="E58" s="18" t="s">
        <v>97</v>
      </c>
      <c r="F58" s="18">
        <v>3.0</v>
      </c>
      <c r="G58" s="10"/>
      <c r="H58" s="10"/>
      <c r="I58" s="10"/>
    </row>
    <row r="59">
      <c r="A59" s="21"/>
      <c r="B59" s="21"/>
      <c r="C59" s="21"/>
      <c r="D59" s="21"/>
      <c r="E59" s="18" t="s">
        <v>93</v>
      </c>
      <c r="F59" s="18">
        <v>3.0</v>
      </c>
      <c r="G59" s="10"/>
      <c r="H59" s="10"/>
      <c r="I59" s="10"/>
    </row>
    <row r="60">
      <c r="A60" s="21"/>
      <c r="B60" s="21"/>
      <c r="C60" s="21"/>
      <c r="D60" s="21"/>
      <c r="E60" s="18" t="s">
        <v>115</v>
      </c>
      <c r="F60" s="18">
        <v>3.0</v>
      </c>
      <c r="G60" s="10"/>
      <c r="H60" s="10"/>
      <c r="I60" s="10"/>
    </row>
    <row r="61">
      <c r="A61" s="21"/>
      <c r="B61" s="21"/>
      <c r="C61" s="21"/>
      <c r="D61" s="21"/>
      <c r="E61" s="18" t="s">
        <v>125</v>
      </c>
      <c r="F61" s="18">
        <v>4.0</v>
      </c>
      <c r="G61" s="10"/>
      <c r="H61" s="10"/>
      <c r="I61" s="10"/>
    </row>
    <row r="62">
      <c r="A62" s="21"/>
      <c r="B62" s="21"/>
      <c r="C62" s="21"/>
      <c r="D62" s="21"/>
      <c r="E62" s="18" t="s">
        <v>306</v>
      </c>
      <c r="F62" s="18">
        <v>4.0</v>
      </c>
      <c r="G62" s="10"/>
      <c r="H62" s="10"/>
      <c r="I62" s="10"/>
    </row>
    <row r="63">
      <c r="A63" s="21"/>
      <c r="B63" s="21"/>
      <c r="C63" s="21"/>
      <c r="D63" s="21"/>
      <c r="E63" s="18" t="s">
        <v>86</v>
      </c>
      <c r="F63" s="18">
        <v>2.0</v>
      </c>
      <c r="G63" s="10"/>
      <c r="H63" s="10"/>
      <c r="I63" s="10"/>
    </row>
    <row r="64">
      <c r="A64" s="21"/>
      <c r="B64" s="21"/>
      <c r="C64" s="21"/>
      <c r="D64" s="21"/>
      <c r="E64" s="18" t="s">
        <v>126</v>
      </c>
      <c r="F64" s="18">
        <v>4.0</v>
      </c>
      <c r="G64" s="10"/>
      <c r="H64" s="10"/>
      <c r="I64" s="10"/>
    </row>
    <row r="65">
      <c r="A65" s="22"/>
      <c r="B65" s="22"/>
      <c r="C65" s="22"/>
      <c r="D65" s="22"/>
      <c r="E65" s="18" t="s">
        <v>203</v>
      </c>
      <c r="F65" s="18">
        <v>6.0</v>
      </c>
      <c r="G65" s="10"/>
      <c r="H65" s="10"/>
      <c r="I65" s="10"/>
    </row>
    <row r="66">
      <c r="A66" s="16" t="s">
        <v>1714</v>
      </c>
      <c r="B66" s="16">
        <v>700.0</v>
      </c>
      <c r="C66" s="16">
        <v>3.0</v>
      </c>
      <c r="D66" s="156">
        <v>3.0</v>
      </c>
      <c r="E66" s="18" t="s">
        <v>139</v>
      </c>
      <c r="F66" s="18">
        <v>3.0</v>
      </c>
      <c r="G66" s="10"/>
      <c r="H66" s="10"/>
      <c r="I66" s="10"/>
    </row>
    <row r="67">
      <c r="A67" s="21"/>
      <c r="B67" s="21"/>
      <c r="C67" s="21"/>
      <c r="D67" s="21"/>
      <c r="E67" s="18" t="s">
        <v>358</v>
      </c>
      <c r="F67" s="18">
        <v>3.0</v>
      </c>
      <c r="G67" s="10"/>
      <c r="H67" s="10"/>
      <c r="I67" s="10"/>
    </row>
    <row r="68">
      <c r="A68" s="21"/>
      <c r="B68" s="21"/>
      <c r="C68" s="21"/>
      <c r="D68" s="21"/>
      <c r="E68" s="18" t="s">
        <v>132</v>
      </c>
      <c r="F68" s="18">
        <v>7.0</v>
      </c>
      <c r="G68" s="10"/>
      <c r="H68" s="10"/>
      <c r="I68" s="10"/>
    </row>
    <row r="69">
      <c r="A69" s="21"/>
      <c r="B69" s="21"/>
      <c r="C69" s="21"/>
      <c r="D69" s="21"/>
      <c r="E69" s="18" t="s">
        <v>125</v>
      </c>
      <c r="F69" s="18">
        <v>4.0</v>
      </c>
      <c r="G69" s="10"/>
      <c r="H69" s="10"/>
      <c r="I69" s="10"/>
    </row>
    <row r="70">
      <c r="A70" s="21"/>
      <c r="B70" s="21"/>
      <c r="C70" s="21"/>
      <c r="D70" s="21"/>
      <c r="E70" s="18" t="s">
        <v>190</v>
      </c>
      <c r="F70" s="18">
        <v>6.0</v>
      </c>
      <c r="G70" s="10"/>
      <c r="H70" s="10"/>
      <c r="I70" s="10"/>
    </row>
    <row r="71">
      <c r="A71" s="21"/>
      <c r="B71" s="21"/>
      <c r="C71" s="21"/>
      <c r="D71" s="21"/>
      <c r="E71" s="18" t="s">
        <v>100</v>
      </c>
      <c r="F71" s="18">
        <v>4.0</v>
      </c>
      <c r="G71" s="10"/>
      <c r="H71" s="10"/>
      <c r="I71" s="10"/>
    </row>
    <row r="72">
      <c r="A72" s="21"/>
      <c r="B72" s="21"/>
      <c r="C72" s="21"/>
      <c r="D72" s="21"/>
      <c r="E72" s="18" t="s">
        <v>136</v>
      </c>
      <c r="F72" s="18">
        <v>1.0</v>
      </c>
      <c r="G72" s="10"/>
      <c r="H72" s="10"/>
      <c r="I72" s="10"/>
    </row>
    <row r="73">
      <c r="A73" s="22"/>
      <c r="B73" s="22"/>
      <c r="C73" s="22"/>
      <c r="D73" s="22"/>
      <c r="E73" s="18" t="s">
        <v>82</v>
      </c>
      <c r="F73" s="18">
        <v>4.0</v>
      </c>
      <c r="G73" s="10"/>
      <c r="H73" s="10"/>
      <c r="I73" s="10"/>
    </row>
    <row r="74">
      <c r="A74" s="16" t="s">
        <v>1715</v>
      </c>
      <c r="B74" s="16">
        <v>800.0</v>
      </c>
      <c r="C74" s="16">
        <v>4.0</v>
      </c>
      <c r="D74" s="156">
        <v>3.0</v>
      </c>
      <c r="E74" s="18" t="s">
        <v>105</v>
      </c>
      <c r="F74" s="18">
        <v>4.0</v>
      </c>
      <c r="G74" s="10"/>
      <c r="H74" s="10"/>
      <c r="I74" s="10"/>
    </row>
    <row r="75">
      <c r="A75" s="21"/>
      <c r="B75" s="21"/>
      <c r="C75" s="21"/>
      <c r="D75" s="21"/>
      <c r="E75" s="18" t="s">
        <v>123</v>
      </c>
      <c r="F75" s="18">
        <v>4.0</v>
      </c>
      <c r="G75" s="10"/>
      <c r="H75" s="10"/>
      <c r="I75" s="10"/>
    </row>
    <row r="76">
      <c r="A76" s="21"/>
      <c r="B76" s="21"/>
      <c r="C76" s="21"/>
      <c r="D76" s="21"/>
      <c r="E76" s="18" t="s">
        <v>358</v>
      </c>
      <c r="F76" s="18">
        <v>4.0</v>
      </c>
      <c r="G76" s="10"/>
      <c r="H76" s="10"/>
      <c r="I76" s="10"/>
    </row>
    <row r="77">
      <c r="A77" s="21"/>
      <c r="B77" s="21"/>
      <c r="C77" s="21"/>
      <c r="D77" s="21"/>
      <c r="E77" s="18" t="s">
        <v>115</v>
      </c>
      <c r="F77" s="18">
        <v>4.0</v>
      </c>
      <c r="G77" s="10"/>
      <c r="H77" s="10"/>
      <c r="I77" s="10"/>
    </row>
    <row r="78">
      <c r="A78" s="21"/>
      <c r="B78" s="21"/>
      <c r="C78" s="21"/>
      <c r="D78" s="21"/>
      <c r="E78" s="18" t="s">
        <v>107</v>
      </c>
      <c r="F78" s="18">
        <v>4.0</v>
      </c>
      <c r="G78" s="10"/>
      <c r="H78" s="10"/>
      <c r="I78" s="10"/>
    </row>
    <row r="79">
      <c r="A79" s="21"/>
      <c r="B79" s="21"/>
      <c r="C79" s="21"/>
      <c r="D79" s="21"/>
      <c r="E79" s="18" t="s">
        <v>203</v>
      </c>
      <c r="F79" s="18">
        <v>7.0</v>
      </c>
      <c r="G79" s="10"/>
      <c r="H79" s="10"/>
      <c r="I79" s="10"/>
    </row>
    <row r="80">
      <c r="A80" s="21"/>
      <c r="B80" s="21"/>
      <c r="C80" s="21"/>
      <c r="D80" s="21"/>
      <c r="E80" s="18" t="s">
        <v>93</v>
      </c>
      <c r="F80" s="18">
        <v>4.0</v>
      </c>
      <c r="G80" s="10"/>
      <c r="H80" s="10"/>
      <c r="I80" s="10"/>
    </row>
    <row r="81">
      <c r="A81" s="22"/>
      <c r="B81" s="22"/>
      <c r="C81" s="22"/>
      <c r="D81" s="22"/>
      <c r="E81" s="18" t="s">
        <v>100</v>
      </c>
      <c r="F81" s="18">
        <v>4.0</v>
      </c>
      <c r="G81" s="10"/>
      <c r="H81" s="10"/>
      <c r="I81" s="10"/>
    </row>
    <row r="82">
      <c r="A82" s="16" t="s">
        <v>1716</v>
      </c>
      <c r="B82" s="16">
        <v>900.0</v>
      </c>
      <c r="C82" s="16">
        <v>4.0</v>
      </c>
      <c r="D82" s="156">
        <v>3.0</v>
      </c>
      <c r="E82" s="18" t="s">
        <v>105</v>
      </c>
      <c r="F82" s="18">
        <v>4.0</v>
      </c>
      <c r="G82" s="10"/>
      <c r="H82" s="10"/>
      <c r="I82" s="10"/>
    </row>
    <row r="83">
      <c r="A83" s="21"/>
      <c r="B83" s="21"/>
      <c r="C83" s="21"/>
      <c r="D83" s="21"/>
      <c r="E83" s="18" t="s">
        <v>123</v>
      </c>
      <c r="F83" s="18">
        <v>5.0</v>
      </c>
      <c r="G83" s="10"/>
      <c r="H83" s="10"/>
      <c r="I83" s="10"/>
    </row>
    <row r="84">
      <c r="A84" s="21"/>
      <c r="B84" s="21"/>
      <c r="C84" s="21"/>
      <c r="D84" s="21"/>
      <c r="E84" s="18" t="s">
        <v>102</v>
      </c>
      <c r="F84" s="18">
        <v>5.0</v>
      </c>
      <c r="G84" s="10"/>
      <c r="H84" s="10"/>
      <c r="I84" s="10"/>
    </row>
    <row r="85">
      <c r="A85" s="21"/>
      <c r="B85" s="21"/>
      <c r="C85" s="21"/>
      <c r="D85" s="21"/>
      <c r="E85" s="18" t="s">
        <v>115</v>
      </c>
      <c r="F85" s="18">
        <v>4.0</v>
      </c>
      <c r="G85" s="10"/>
      <c r="H85" s="10"/>
      <c r="I85" s="10"/>
    </row>
    <row r="86">
      <c r="A86" s="21"/>
      <c r="B86" s="21"/>
      <c r="C86" s="21"/>
      <c r="D86" s="21"/>
      <c r="E86" s="18" t="s">
        <v>214</v>
      </c>
      <c r="F86" s="18">
        <v>6.0</v>
      </c>
      <c r="G86" s="10"/>
      <c r="H86" s="10"/>
      <c r="I86" s="10"/>
    </row>
    <row r="87">
      <c r="A87" s="21"/>
      <c r="B87" s="21"/>
      <c r="C87" s="21"/>
      <c r="D87" s="21"/>
      <c r="E87" s="18" t="s">
        <v>203</v>
      </c>
      <c r="F87" s="18">
        <v>6.0</v>
      </c>
      <c r="G87" s="10"/>
      <c r="H87" s="10"/>
      <c r="I87" s="10"/>
    </row>
    <row r="88">
      <c r="A88" s="21"/>
      <c r="B88" s="21"/>
      <c r="C88" s="21"/>
      <c r="D88" s="21"/>
      <c r="E88" s="18" t="s">
        <v>93</v>
      </c>
      <c r="F88" s="18">
        <v>4.0</v>
      </c>
      <c r="G88" s="10"/>
      <c r="H88" s="10"/>
      <c r="I88" s="10"/>
    </row>
    <row r="89">
      <c r="A89" s="22"/>
      <c r="B89" s="22"/>
      <c r="C89" s="22"/>
      <c r="D89" s="22"/>
      <c r="E89" s="18" t="s">
        <v>100</v>
      </c>
      <c r="F89" s="18">
        <v>6.0</v>
      </c>
      <c r="G89" s="10"/>
      <c r="H89" s="10"/>
      <c r="I89" s="10"/>
    </row>
    <row r="90">
      <c r="A90" s="16" t="s">
        <v>1717</v>
      </c>
      <c r="B90" s="16">
        <v>1000.0</v>
      </c>
      <c r="C90" s="16">
        <v>5.0</v>
      </c>
      <c r="D90" s="156">
        <v>2.8</v>
      </c>
      <c r="E90" s="18" t="s">
        <v>97</v>
      </c>
      <c r="F90" s="18">
        <v>5.0</v>
      </c>
      <c r="G90" s="10"/>
      <c r="H90" s="10"/>
      <c r="I90" s="10"/>
    </row>
    <row r="91">
      <c r="A91" s="21"/>
      <c r="B91" s="21"/>
      <c r="C91" s="21"/>
      <c r="D91" s="21"/>
      <c r="E91" s="18" t="s">
        <v>93</v>
      </c>
      <c r="F91" s="18">
        <v>5.0</v>
      </c>
      <c r="G91" s="10"/>
      <c r="H91" s="10"/>
      <c r="I91" s="10"/>
    </row>
    <row r="92">
      <c r="A92" s="21"/>
      <c r="B92" s="21"/>
      <c r="C92" s="21"/>
      <c r="D92" s="21"/>
      <c r="E92" s="18" t="s">
        <v>132</v>
      </c>
      <c r="F92" s="18">
        <v>7.0</v>
      </c>
      <c r="G92" s="10"/>
      <c r="H92" s="10"/>
      <c r="I92" s="10"/>
    </row>
    <row r="93">
      <c r="A93" s="21"/>
      <c r="B93" s="21"/>
      <c r="C93" s="21"/>
      <c r="D93" s="21"/>
      <c r="E93" s="18" t="s">
        <v>115</v>
      </c>
      <c r="F93" s="18">
        <v>5.0</v>
      </c>
      <c r="G93" s="10"/>
      <c r="H93" s="10"/>
      <c r="I93" s="10"/>
    </row>
    <row r="94">
      <c r="A94" s="21"/>
      <c r="B94" s="21"/>
      <c r="C94" s="21"/>
      <c r="D94" s="21"/>
      <c r="E94" s="18" t="s">
        <v>100</v>
      </c>
      <c r="F94" s="18">
        <v>5.0</v>
      </c>
      <c r="G94" s="10"/>
      <c r="H94" s="10"/>
      <c r="I94" s="10"/>
    </row>
    <row r="95">
      <c r="A95" s="21"/>
      <c r="B95" s="21"/>
      <c r="C95" s="21"/>
      <c r="D95" s="21"/>
      <c r="E95" s="18" t="s">
        <v>107</v>
      </c>
      <c r="F95" s="18">
        <v>4.0</v>
      </c>
      <c r="G95" s="10"/>
      <c r="H95" s="10"/>
      <c r="I95" s="10"/>
    </row>
    <row r="96">
      <c r="A96" s="21"/>
      <c r="B96" s="21"/>
      <c r="C96" s="21"/>
      <c r="D96" s="21"/>
      <c r="E96" s="18" t="s">
        <v>129</v>
      </c>
      <c r="F96" s="18">
        <v>5.0</v>
      </c>
      <c r="G96" s="10"/>
      <c r="H96" s="10"/>
      <c r="I96" s="10"/>
    </row>
    <row r="97">
      <c r="A97" s="22"/>
      <c r="B97" s="22"/>
      <c r="C97" s="22"/>
      <c r="D97" s="22"/>
      <c r="E97" s="18" t="s">
        <v>102</v>
      </c>
      <c r="F97" s="18">
        <v>5.0</v>
      </c>
      <c r="G97" s="10"/>
      <c r="H97" s="10"/>
      <c r="I97" s="10"/>
    </row>
    <row r="98">
      <c r="A98" s="16" t="s">
        <v>1718</v>
      </c>
      <c r="B98" s="16">
        <v>1100.0</v>
      </c>
      <c r="C98" s="16">
        <v>5.0</v>
      </c>
      <c r="D98" s="156">
        <v>2.8</v>
      </c>
      <c r="E98" s="18" t="s">
        <v>188</v>
      </c>
      <c r="F98" s="18">
        <v>5.0</v>
      </c>
      <c r="G98" s="10"/>
      <c r="H98" s="10"/>
      <c r="I98" s="10"/>
    </row>
    <row r="99">
      <c r="A99" s="21"/>
      <c r="B99" s="21"/>
      <c r="C99" s="21"/>
      <c r="D99" s="21"/>
      <c r="E99" s="18" t="s">
        <v>153</v>
      </c>
      <c r="F99" s="18">
        <v>4.0</v>
      </c>
      <c r="G99" s="10"/>
      <c r="H99" s="10"/>
      <c r="I99" s="10"/>
    </row>
    <row r="100">
      <c r="A100" s="21"/>
      <c r="B100" s="21"/>
      <c r="C100" s="21"/>
      <c r="D100" s="21"/>
      <c r="E100" s="18" t="s">
        <v>136</v>
      </c>
      <c r="F100" s="18">
        <v>6.0</v>
      </c>
      <c r="G100" s="10"/>
      <c r="H100" s="10"/>
      <c r="I100" s="10"/>
    </row>
    <row r="101">
      <c r="A101" s="21"/>
      <c r="B101" s="21"/>
      <c r="C101" s="21"/>
      <c r="D101" s="21"/>
      <c r="E101" s="18" t="s">
        <v>97</v>
      </c>
      <c r="F101" s="18">
        <v>5.0</v>
      </c>
      <c r="G101" s="10"/>
      <c r="H101" s="10"/>
      <c r="I101" s="10"/>
    </row>
    <row r="102">
      <c r="A102" s="21"/>
      <c r="B102" s="21"/>
      <c r="C102" s="21"/>
      <c r="D102" s="21"/>
      <c r="E102" s="18" t="s">
        <v>113</v>
      </c>
      <c r="F102" s="18">
        <v>6.0</v>
      </c>
      <c r="G102" s="10"/>
      <c r="H102" s="10"/>
      <c r="I102" s="10"/>
    </row>
    <row r="103">
      <c r="A103" s="21"/>
      <c r="B103" s="21"/>
      <c r="C103" s="21"/>
      <c r="D103" s="21"/>
      <c r="E103" s="18" t="s">
        <v>214</v>
      </c>
      <c r="F103" s="18">
        <v>7.0</v>
      </c>
      <c r="G103" s="10"/>
      <c r="H103" s="10"/>
      <c r="I103" s="10"/>
    </row>
    <row r="104">
      <c r="A104" s="21"/>
      <c r="B104" s="21"/>
      <c r="C104" s="21"/>
      <c r="D104" s="21"/>
      <c r="E104" s="18" t="s">
        <v>93</v>
      </c>
      <c r="F104" s="18">
        <v>6.0</v>
      </c>
      <c r="G104" s="10"/>
      <c r="H104" s="10"/>
      <c r="I104" s="10"/>
    </row>
    <row r="105">
      <c r="A105" s="22"/>
      <c r="B105" s="22"/>
      <c r="C105" s="22"/>
      <c r="D105" s="22"/>
      <c r="E105" s="18" t="s">
        <v>100</v>
      </c>
      <c r="F105" s="18">
        <v>5.0</v>
      </c>
      <c r="G105" s="10"/>
      <c r="H105" s="10"/>
      <c r="I105" s="10"/>
    </row>
    <row r="106">
      <c r="A106" s="16" t="s">
        <v>1719</v>
      </c>
      <c r="B106" s="16">
        <v>1200.0</v>
      </c>
      <c r="C106" s="16">
        <v>6.0</v>
      </c>
      <c r="D106" s="156">
        <v>2.8</v>
      </c>
      <c r="E106" s="18" t="s">
        <v>190</v>
      </c>
      <c r="F106" s="18">
        <v>7.0</v>
      </c>
      <c r="G106" s="10"/>
      <c r="H106" s="10"/>
      <c r="I106" s="10"/>
    </row>
    <row r="107">
      <c r="A107" s="21"/>
      <c r="B107" s="21"/>
      <c r="C107" s="21"/>
      <c r="D107" s="21"/>
      <c r="E107" s="18" t="s">
        <v>179</v>
      </c>
      <c r="F107" s="18">
        <v>7.0</v>
      </c>
      <c r="G107" s="10"/>
      <c r="H107" s="10"/>
      <c r="I107" s="10"/>
    </row>
    <row r="108">
      <c r="A108" s="21"/>
      <c r="B108" s="21"/>
      <c r="C108" s="21"/>
      <c r="D108" s="21"/>
      <c r="E108" s="18" t="s">
        <v>115</v>
      </c>
      <c r="F108" s="18">
        <v>6.0</v>
      </c>
      <c r="G108" s="10"/>
      <c r="H108" s="10"/>
      <c r="I108" s="10"/>
    </row>
    <row r="109">
      <c r="A109" s="21"/>
      <c r="B109" s="21"/>
      <c r="C109" s="21"/>
      <c r="D109" s="21"/>
      <c r="E109" s="18" t="s">
        <v>113</v>
      </c>
      <c r="F109" s="18">
        <v>6.0</v>
      </c>
      <c r="G109" s="10"/>
      <c r="H109" s="10"/>
      <c r="I109" s="10"/>
    </row>
    <row r="110">
      <c r="A110" s="21"/>
      <c r="B110" s="21"/>
      <c r="C110" s="21"/>
      <c r="D110" s="21"/>
      <c r="E110" s="18" t="s">
        <v>184</v>
      </c>
      <c r="F110" s="18">
        <v>6.0</v>
      </c>
      <c r="G110" s="10"/>
      <c r="H110" s="10"/>
      <c r="I110" s="10"/>
    </row>
    <row r="111">
      <c r="A111" s="21"/>
      <c r="B111" s="21"/>
      <c r="C111" s="21"/>
      <c r="D111" s="21"/>
      <c r="E111" s="18" t="s">
        <v>177</v>
      </c>
      <c r="F111" s="18">
        <v>5.0</v>
      </c>
      <c r="G111" s="10"/>
      <c r="H111" s="10"/>
      <c r="I111" s="10"/>
    </row>
    <row r="112">
      <c r="A112" s="21"/>
      <c r="B112" s="21"/>
      <c r="C112" s="21"/>
      <c r="D112" s="21"/>
      <c r="E112" s="18" t="s">
        <v>93</v>
      </c>
      <c r="F112" s="18">
        <v>6.0</v>
      </c>
      <c r="G112" s="10"/>
      <c r="H112" s="10"/>
      <c r="I112" s="10"/>
    </row>
    <row r="113">
      <c r="A113" s="22"/>
      <c r="B113" s="22"/>
      <c r="C113" s="22"/>
      <c r="D113" s="22"/>
      <c r="E113" s="18" t="s">
        <v>82</v>
      </c>
      <c r="F113" s="18">
        <v>6.0</v>
      </c>
      <c r="G113" s="10"/>
      <c r="H113" s="10"/>
      <c r="I113" s="10"/>
    </row>
    <row r="114">
      <c r="A114" s="16" t="s">
        <v>1720</v>
      </c>
      <c r="B114" s="16">
        <v>1300.0</v>
      </c>
      <c r="C114" s="16">
        <v>6.0</v>
      </c>
      <c r="D114" s="156">
        <v>2.8</v>
      </c>
      <c r="E114" s="18" t="s">
        <v>105</v>
      </c>
      <c r="F114" s="18">
        <v>6.0</v>
      </c>
      <c r="G114" s="10"/>
      <c r="H114" s="10"/>
      <c r="I114" s="10"/>
    </row>
    <row r="115">
      <c r="A115" s="21"/>
      <c r="B115" s="21"/>
      <c r="C115" s="21"/>
      <c r="D115" s="21"/>
      <c r="E115" s="18" t="s">
        <v>252</v>
      </c>
      <c r="F115" s="18">
        <v>6.0</v>
      </c>
      <c r="G115" s="10"/>
      <c r="H115" s="10"/>
      <c r="I115" s="10"/>
    </row>
    <row r="116">
      <c r="A116" s="21"/>
      <c r="B116" s="21"/>
      <c r="C116" s="21"/>
      <c r="D116" s="21"/>
      <c r="E116" s="18" t="s">
        <v>199</v>
      </c>
      <c r="F116" s="18">
        <v>6.0</v>
      </c>
      <c r="G116" s="10"/>
      <c r="H116" s="10"/>
      <c r="I116" s="10"/>
    </row>
    <row r="117">
      <c r="A117" s="21"/>
      <c r="B117" s="21"/>
      <c r="C117" s="21"/>
      <c r="D117" s="21"/>
      <c r="E117" s="18" t="s">
        <v>115</v>
      </c>
      <c r="F117" s="18">
        <v>6.0</v>
      </c>
      <c r="G117" s="10"/>
      <c r="H117" s="10"/>
      <c r="I117" s="10"/>
    </row>
    <row r="118">
      <c r="A118" s="21"/>
      <c r="B118" s="21"/>
      <c r="C118" s="21"/>
      <c r="D118" s="21"/>
      <c r="E118" s="18" t="s">
        <v>107</v>
      </c>
      <c r="F118" s="18">
        <v>6.0</v>
      </c>
      <c r="G118" s="10"/>
      <c r="H118" s="10"/>
      <c r="I118" s="10"/>
    </row>
    <row r="119">
      <c r="A119" s="21"/>
      <c r="B119" s="21"/>
      <c r="C119" s="21"/>
      <c r="D119" s="21"/>
      <c r="E119" s="18" t="s">
        <v>177</v>
      </c>
      <c r="F119" s="18">
        <v>5.0</v>
      </c>
      <c r="G119" s="10"/>
      <c r="H119" s="10"/>
      <c r="I119" s="10"/>
    </row>
    <row r="120">
      <c r="A120" s="21"/>
      <c r="B120" s="21"/>
      <c r="C120" s="21"/>
      <c r="D120" s="21"/>
      <c r="E120" s="18" t="s">
        <v>93</v>
      </c>
      <c r="F120" s="18">
        <v>7.0</v>
      </c>
      <c r="G120" s="10"/>
      <c r="H120" s="10"/>
      <c r="I120" s="10"/>
    </row>
    <row r="121">
      <c r="A121" s="22"/>
      <c r="B121" s="22"/>
      <c r="C121" s="22"/>
      <c r="D121" s="22"/>
      <c r="E121" s="18" t="s">
        <v>82</v>
      </c>
      <c r="F121" s="18">
        <v>6.0</v>
      </c>
      <c r="G121" s="10"/>
      <c r="H121" s="10"/>
      <c r="I121" s="10"/>
    </row>
    <row r="122">
      <c r="A122" s="16" t="s">
        <v>1721</v>
      </c>
      <c r="B122" s="16">
        <v>1400.0</v>
      </c>
      <c r="C122" s="16">
        <v>7.0</v>
      </c>
      <c r="D122" s="156">
        <v>2.8</v>
      </c>
      <c r="E122" s="18" t="s">
        <v>358</v>
      </c>
      <c r="F122" s="18">
        <v>6.0</v>
      </c>
      <c r="G122" s="10"/>
      <c r="H122" s="10"/>
      <c r="I122" s="10"/>
    </row>
    <row r="123">
      <c r="A123" s="21"/>
      <c r="B123" s="21"/>
      <c r="C123" s="21"/>
      <c r="D123" s="21"/>
      <c r="E123" s="18" t="s">
        <v>126</v>
      </c>
      <c r="F123" s="18">
        <v>5.0</v>
      </c>
      <c r="G123" s="10"/>
      <c r="H123" s="10"/>
      <c r="I123" s="10"/>
    </row>
    <row r="124">
      <c r="A124" s="21"/>
      <c r="B124" s="21"/>
      <c r="C124" s="21"/>
      <c r="D124" s="21"/>
      <c r="E124" s="18" t="s">
        <v>306</v>
      </c>
      <c r="F124" s="18">
        <v>6.0</v>
      </c>
      <c r="G124" s="10"/>
      <c r="H124" s="10"/>
      <c r="I124" s="10"/>
    </row>
    <row r="125">
      <c r="A125" s="21"/>
      <c r="B125" s="21"/>
      <c r="C125" s="21"/>
      <c r="D125" s="21"/>
      <c r="E125" s="18" t="s">
        <v>115</v>
      </c>
      <c r="F125" s="18">
        <v>6.0</v>
      </c>
      <c r="G125" s="10"/>
      <c r="H125" s="10"/>
      <c r="I125" s="10"/>
    </row>
    <row r="126">
      <c r="A126" s="21"/>
      <c r="B126" s="21"/>
      <c r="C126" s="21"/>
      <c r="D126" s="21"/>
      <c r="E126" s="18" t="s">
        <v>107</v>
      </c>
      <c r="F126" s="18">
        <v>6.0</v>
      </c>
      <c r="G126" s="10"/>
      <c r="H126" s="10"/>
      <c r="I126" s="10"/>
    </row>
    <row r="127">
      <c r="A127" s="21"/>
      <c r="B127" s="21"/>
      <c r="C127" s="21"/>
      <c r="D127" s="21"/>
      <c r="E127" s="18" t="s">
        <v>113</v>
      </c>
      <c r="F127" s="18">
        <v>7.0</v>
      </c>
      <c r="G127" s="10"/>
      <c r="H127" s="10"/>
      <c r="I127" s="10"/>
    </row>
    <row r="128">
      <c r="A128" s="21"/>
      <c r="B128" s="21"/>
      <c r="C128" s="21"/>
      <c r="D128" s="21"/>
      <c r="E128" s="18" t="s">
        <v>214</v>
      </c>
      <c r="F128" s="18">
        <v>7.0</v>
      </c>
      <c r="G128" s="10"/>
      <c r="H128" s="10"/>
      <c r="I128" s="10"/>
    </row>
    <row r="129">
      <c r="A129" s="22"/>
      <c r="B129" s="22"/>
      <c r="C129" s="22"/>
      <c r="D129" s="22"/>
      <c r="E129" s="18" t="s">
        <v>100</v>
      </c>
      <c r="F129" s="18">
        <v>6.0</v>
      </c>
      <c r="G129" s="10"/>
      <c r="H129" s="10"/>
      <c r="I129" s="10"/>
    </row>
    <row r="130">
      <c r="A130" s="16" t="s">
        <v>1722</v>
      </c>
      <c r="B130" s="16">
        <v>1500.0</v>
      </c>
      <c r="C130" s="16">
        <v>6.0</v>
      </c>
      <c r="D130" s="156">
        <v>2.8</v>
      </c>
      <c r="E130" s="18" t="s">
        <v>115</v>
      </c>
      <c r="F130" s="18">
        <v>6.0</v>
      </c>
      <c r="G130" s="10"/>
      <c r="H130" s="10"/>
      <c r="I130" s="10"/>
    </row>
    <row r="131">
      <c r="A131" s="21"/>
      <c r="B131" s="21"/>
      <c r="C131" s="21"/>
      <c r="D131" s="21"/>
      <c r="E131" s="18" t="s">
        <v>113</v>
      </c>
      <c r="F131" s="18">
        <v>7.0</v>
      </c>
      <c r="G131" s="10"/>
      <c r="H131" s="10"/>
      <c r="I131" s="10"/>
    </row>
    <row r="132">
      <c r="A132" s="21"/>
      <c r="B132" s="21"/>
      <c r="C132" s="21"/>
      <c r="D132" s="21"/>
      <c r="E132" s="18" t="s">
        <v>132</v>
      </c>
      <c r="F132" s="18">
        <v>7.0</v>
      </c>
      <c r="G132" s="10"/>
      <c r="H132" s="10"/>
      <c r="I132" s="10"/>
    </row>
    <row r="133">
      <c r="A133" s="21"/>
      <c r="B133" s="21"/>
      <c r="C133" s="21"/>
      <c r="D133" s="21"/>
      <c r="E133" s="18" t="s">
        <v>125</v>
      </c>
      <c r="F133" s="18">
        <v>7.0</v>
      </c>
      <c r="G133" s="10"/>
      <c r="H133" s="10"/>
      <c r="I133" s="10"/>
    </row>
    <row r="134">
      <c r="A134" s="21"/>
      <c r="B134" s="21"/>
      <c r="C134" s="21"/>
      <c r="D134" s="21"/>
      <c r="E134" s="18" t="s">
        <v>97</v>
      </c>
      <c r="F134" s="18">
        <v>6.0</v>
      </c>
      <c r="G134" s="10"/>
      <c r="H134" s="10"/>
      <c r="I134" s="10"/>
    </row>
    <row r="135">
      <c r="A135" s="21"/>
      <c r="B135" s="21"/>
      <c r="C135" s="21"/>
      <c r="D135" s="21"/>
      <c r="E135" s="18" t="s">
        <v>190</v>
      </c>
      <c r="F135" s="18">
        <v>7.0</v>
      </c>
      <c r="G135" s="10"/>
      <c r="H135" s="10"/>
      <c r="I135" s="10"/>
    </row>
    <row r="136">
      <c r="A136" s="21"/>
      <c r="B136" s="21"/>
      <c r="C136" s="21"/>
      <c r="D136" s="21"/>
      <c r="E136" s="18" t="s">
        <v>100</v>
      </c>
      <c r="F136" s="18">
        <v>6.0</v>
      </c>
      <c r="G136" s="10"/>
      <c r="H136" s="10"/>
      <c r="I136" s="10"/>
    </row>
    <row r="137">
      <c r="A137" s="22"/>
      <c r="B137" s="22"/>
      <c r="C137" s="22"/>
      <c r="D137" s="22"/>
      <c r="E137" s="18" t="s">
        <v>82</v>
      </c>
      <c r="F137" s="18">
        <v>6.0</v>
      </c>
      <c r="G137" s="10"/>
      <c r="H137" s="10"/>
      <c r="I137" s="10"/>
    </row>
    <row r="138">
      <c r="A138" s="16" t="s">
        <v>1723</v>
      </c>
      <c r="B138" s="16">
        <v>1600.0</v>
      </c>
      <c r="C138" s="16">
        <v>6.0</v>
      </c>
      <c r="D138" s="156">
        <v>2.8</v>
      </c>
      <c r="E138" s="18" t="s">
        <v>190</v>
      </c>
      <c r="F138" s="18">
        <v>7.0</v>
      </c>
      <c r="G138" s="10"/>
      <c r="H138" s="10"/>
      <c r="I138" s="10"/>
    </row>
    <row r="139">
      <c r="A139" s="21"/>
      <c r="B139" s="21"/>
      <c r="C139" s="21"/>
      <c r="D139" s="21"/>
      <c r="E139" s="18" t="s">
        <v>177</v>
      </c>
      <c r="F139" s="18">
        <v>6.0</v>
      </c>
      <c r="G139" s="10"/>
      <c r="H139" s="10"/>
      <c r="I139" s="10"/>
    </row>
    <row r="140">
      <c r="A140" s="21"/>
      <c r="B140" s="21"/>
      <c r="C140" s="21"/>
      <c r="D140" s="21"/>
      <c r="E140" s="18" t="s">
        <v>107</v>
      </c>
      <c r="F140" s="18">
        <v>6.0</v>
      </c>
      <c r="G140" s="10"/>
      <c r="H140" s="10"/>
      <c r="I140" s="10"/>
    </row>
    <row r="141">
      <c r="A141" s="21"/>
      <c r="B141" s="21"/>
      <c r="C141" s="21"/>
      <c r="D141" s="21"/>
      <c r="E141" s="18" t="s">
        <v>139</v>
      </c>
      <c r="F141" s="18">
        <v>7.0</v>
      </c>
      <c r="G141" s="10"/>
      <c r="H141" s="10"/>
      <c r="I141" s="10"/>
    </row>
    <row r="142">
      <c r="A142" s="21"/>
      <c r="B142" s="21"/>
      <c r="C142" s="21"/>
      <c r="D142" s="21"/>
      <c r="E142" s="18" t="s">
        <v>100</v>
      </c>
      <c r="F142" s="18">
        <v>6.0</v>
      </c>
      <c r="G142" s="10"/>
      <c r="H142" s="10"/>
      <c r="I142" s="10"/>
    </row>
    <row r="143">
      <c r="A143" s="21"/>
      <c r="B143" s="21"/>
      <c r="C143" s="21"/>
      <c r="D143" s="21"/>
      <c r="E143" s="18" t="s">
        <v>188</v>
      </c>
      <c r="F143" s="18">
        <v>6.0</v>
      </c>
      <c r="G143" s="10"/>
      <c r="H143" s="10"/>
      <c r="I143" s="10"/>
    </row>
    <row r="144">
      <c r="A144" s="21"/>
      <c r="B144" s="21"/>
      <c r="C144" s="21"/>
      <c r="D144" s="21"/>
      <c r="E144" s="18" t="s">
        <v>147</v>
      </c>
      <c r="F144" s="18">
        <v>7.0</v>
      </c>
      <c r="G144" s="10"/>
      <c r="H144" s="10"/>
      <c r="I144" s="10"/>
    </row>
    <row r="145">
      <c r="A145" s="21"/>
      <c r="B145" s="21"/>
      <c r="C145" s="21"/>
      <c r="D145" s="21"/>
      <c r="E145" s="18" t="s">
        <v>252</v>
      </c>
      <c r="F145" s="18">
        <v>6.0</v>
      </c>
      <c r="G145" s="10"/>
      <c r="H145" s="10"/>
      <c r="I145" s="10"/>
    </row>
    <row r="146">
      <c r="A146" s="22"/>
      <c r="B146" s="22"/>
      <c r="C146" s="22"/>
      <c r="D146" s="22"/>
      <c r="E146" s="18" t="s">
        <v>214</v>
      </c>
      <c r="F146" s="18">
        <v>7.0</v>
      </c>
      <c r="G146" s="10"/>
      <c r="H146" s="10"/>
      <c r="I146" s="10"/>
    </row>
    <row r="147">
      <c r="A147" s="16" t="s">
        <v>1724</v>
      </c>
      <c r="B147" s="16">
        <v>1700.0</v>
      </c>
      <c r="C147" s="16">
        <v>7.0</v>
      </c>
      <c r="D147" s="156">
        <v>2.8</v>
      </c>
      <c r="E147" s="18" t="s">
        <v>223</v>
      </c>
      <c r="F147" s="18">
        <v>7.0</v>
      </c>
      <c r="G147" s="10"/>
      <c r="H147" s="10"/>
      <c r="I147" s="10"/>
    </row>
    <row r="148">
      <c r="A148" s="21"/>
      <c r="B148" s="21"/>
      <c r="C148" s="21"/>
      <c r="D148" s="21"/>
      <c r="E148" s="18" t="s">
        <v>188</v>
      </c>
      <c r="F148" s="18">
        <v>6.0</v>
      </c>
      <c r="G148" s="10"/>
      <c r="H148" s="10"/>
      <c r="I148" s="10"/>
    </row>
    <row r="149">
      <c r="A149" s="21"/>
      <c r="B149" s="21"/>
      <c r="C149" s="21"/>
      <c r="D149" s="21"/>
      <c r="E149" s="18" t="s">
        <v>102</v>
      </c>
      <c r="F149" s="18">
        <v>6.0</v>
      </c>
      <c r="G149" s="10"/>
      <c r="H149" s="10"/>
      <c r="I149" s="10"/>
    </row>
    <row r="150">
      <c r="A150" s="21"/>
      <c r="B150" s="21"/>
      <c r="C150" s="21"/>
      <c r="D150" s="21"/>
      <c r="E150" s="18" t="s">
        <v>113</v>
      </c>
      <c r="F150" s="18">
        <v>7.0</v>
      </c>
      <c r="G150" s="10"/>
      <c r="H150" s="10"/>
      <c r="I150" s="10"/>
    </row>
    <row r="151">
      <c r="A151" s="21"/>
      <c r="B151" s="21"/>
      <c r="C151" s="21"/>
      <c r="D151" s="21"/>
      <c r="E151" s="18" t="s">
        <v>82</v>
      </c>
      <c r="F151" s="18">
        <v>7.0</v>
      </c>
      <c r="G151" s="10"/>
      <c r="H151" s="10"/>
      <c r="I151" s="10"/>
    </row>
    <row r="152">
      <c r="A152" s="21"/>
      <c r="B152" s="21"/>
      <c r="C152" s="21"/>
      <c r="D152" s="21"/>
      <c r="E152" s="18" t="s">
        <v>130</v>
      </c>
      <c r="F152" s="18">
        <v>7.0</v>
      </c>
      <c r="G152" s="10"/>
      <c r="H152" s="10"/>
      <c r="I152" s="10"/>
    </row>
    <row r="153">
      <c r="A153" s="21"/>
      <c r="B153" s="21"/>
      <c r="C153" s="21"/>
      <c r="D153" s="21"/>
      <c r="E153" s="18" t="s">
        <v>132</v>
      </c>
      <c r="F153" s="18">
        <v>7.0</v>
      </c>
      <c r="G153" s="10"/>
      <c r="H153" s="10"/>
      <c r="I153" s="10"/>
    </row>
    <row r="154">
      <c r="A154" s="22"/>
      <c r="B154" s="22"/>
      <c r="C154" s="22"/>
      <c r="D154" s="22"/>
      <c r="E154" s="18" t="s">
        <v>125</v>
      </c>
      <c r="F154" s="18">
        <v>7.0</v>
      </c>
      <c r="G154" s="10"/>
      <c r="H154" s="10"/>
      <c r="I154" s="10"/>
    </row>
    <row r="155">
      <c r="A155" s="16" t="s">
        <v>1725</v>
      </c>
      <c r="B155" s="16">
        <v>1800.0</v>
      </c>
      <c r="C155" s="16">
        <v>7.0</v>
      </c>
      <c r="D155" s="156">
        <v>2.8</v>
      </c>
      <c r="E155" s="18" t="s">
        <v>97</v>
      </c>
      <c r="F155" s="18">
        <v>7.0</v>
      </c>
      <c r="G155" s="10"/>
      <c r="H155" s="10"/>
      <c r="I155" s="10"/>
    </row>
    <row r="156">
      <c r="A156" s="21"/>
      <c r="B156" s="21"/>
      <c r="C156" s="21"/>
      <c r="D156" s="21"/>
      <c r="E156" s="18" t="s">
        <v>115</v>
      </c>
      <c r="F156" s="18">
        <v>7.0</v>
      </c>
      <c r="G156" s="10"/>
      <c r="H156" s="10"/>
      <c r="I156" s="10"/>
    </row>
    <row r="157">
      <c r="A157" s="21"/>
      <c r="B157" s="21"/>
      <c r="C157" s="21"/>
      <c r="D157" s="21"/>
      <c r="E157" s="18" t="s">
        <v>123</v>
      </c>
      <c r="F157" s="18">
        <v>7.0</v>
      </c>
      <c r="G157" s="10"/>
      <c r="H157" s="10"/>
      <c r="I157" s="10"/>
    </row>
    <row r="158">
      <c r="A158" s="21"/>
      <c r="B158" s="21"/>
      <c r="C158" s="21"/>
      <c r="D158" s="21"/>
      <c r="E158" s="18" t="s">
        <v>113</v>
      </c>
      <c r="F158" s="18">
        <v>7.0</v>
      </c>
      <c r="G158" s="10"/>
      <c r="H158" s="10"/>
      <c r="I158" s="10"/>
    </row>
    <row r="159">
      <c r="A159" s="21"/>
      <c r="B159" s="21"/>
      <c r="C159" s="21"/>
      <c r="D159" s="21"/>
      <c r="E159" s="18" t="s">
        <v>82</v>
      </c>
      <c r="F159" s="18">
        <v>7.0</v>
      </c>
      <c r="G159" s="10"/>
      <c r="H159" s="10"/>
      <c r="I159" s="10"/>
    </row>
    <row r="160">
      <c r="A160" s="21"/>
      <c r="B160" s="21"/>
      <c r="C160" s="21"/>
      <c r="D160" s="21"/>
      <c r="E160" s="18" t="s">
        <v>188</v>
      </c>
      <c r="F160" s="18">
        <v>6.0</v>
      </c>
      <c r="G160" s="10"/>
      <c r="H160" s="10"/>
      <c r="I160" s="10"/>
    </row>
    <row r="161">
      <c r="A161" s="21"/>
      <c r="B161" s="21"/>
      <c r="C161" s="21"/>
      <c r="D161" s="21"/>
      <c r="E161" s="18" t="s">
        <v>252</v>
      </c>
      <c r="F161" s="18">
        <v>7.0</v>
      </c>
      <c r="G161" s="10"/>
      <c r="H161" s="10"/>
      <c r="I161" s="10"/>
    </row>
    <row r="162">
      <c r="A162" s="22"/>
      <c r="B162" s="22"/>
      <c r="C162" s="22"/>
      <c r="D162" s="22"/>
      <c r="E162" s="18" t="s">
        <v>214</v>
      </c>
      <c r="F162" s="18">
        <v>7.0</v>
      </c>
      <c r="G162" s="10"/>
      <c r="H162" s="10"/>
      <c r="I162" s="10"/>
    </row>
    <row r="163">
      <c r="A163" s="16" t="s">
        <v>1726</v>
      </c>
      <c r="B163" s="16">
        <v>1900.0</v>
      </c>
      <c r="C163" s="16">
        <v>7.0</v>
      </c>
      <c r="D163" s="156">
        <v>2.8</v>
      </c>
      <c r="E163" s="18" t="s">
        <v>86</v>
      </c>
      <c r="F163" s="18">
        <v>7.0</v>
      </c>
      <c r="G163" s="10"/>
      <c r="H163" s="10"/>
      <c r="I163" s="10"/>
    </row>
    <row r="164">
      <c r="A164" s="21"/>
      <c r="B164" s="21"/>
      <c r="C164" s="21"/>
      <c r="D164" s="21"/>
      <c r="E164" s="18" t="s">
        <v>252</v>
      </c>
      <c r="F164" s="18">
        <v>7.0</v>
      </c>
      <c r="G164" s="10"/>
      <c r="H164" s="10"/>
      <c r="I164" s="10"/>
    </row>
    <row r="165">
      <c r="A165" s="21"/>
      <c r="B165" s="21"/>
      <c r="C165" s="21"/>
      <c r="D165" s="21"/>
      <c r="E165" s="18" t="s">
        <v>203</v>
      </c>
      <c r="F165" s="18">
        <v>7.0</v>
      </c>
      <c r="G165" s="10"/>
      <c r="H165" s="10"/>
      <c r="I165" s="10"/>
    </row>
    <row r="166">
      <c r="A166" s="21"/>
      <c r="B166" s="21"/>
      <c r="C166" s="21"/>
      <c r="D166" s="21"/>
      <c r="E166" s="18" t="s">
        <v>130</v>
      </c>
      <c r="F166" s="18">
        <v>7.0</v>
      </c>
      <c r="G166" s="10"/>
      <c r="H166" s="10"/>
      <c r="I166" s="10"/>
    </row>
    <row r="167">
      <c r="A167" s="21"/>
      <c r="B167" s="21"/>
      <c r="C167" s="21"/>
      <c r="D167" s="21"/>
      <c r="E167" s="18" t="s">
        <v>82</v>
      </c>
      <c r="F167" s="18">
        <v>7.0</v>
      </c>
      <c r="G167" s="10"/>
      <c r="H167" s="10"/>
      <c r="I167" s="10"/>
    </row>
    <row r="168">
      <c r="A168" s="21"/>
      <c r="B168" s="21"/>
      <c r="C168" s="21"/>
      <c r="D168" s="21"/>
      <c r="E168" s="18" t="s">
        <v>100</v>
      </c>
      <c r="F168" s="18">
        <v>6.0</v>
      </c>
      <c r="G168" s="10"/>
      <c r="H168" s="10"/>
      <c r="I168" s="10"/>
    </row>
    <row r="169">
      <c r="A169" s="21"/>
      <c r="B169" s="21"/>
      <c r="C169" s="21"/>
      <c r="D169" s="21"/>
      <c r="E169" s="18" t="s">
        <v>184</v>
      </c>
      <c r="F169" s="18">
        <v>7.0</v>
      </c>
      <c r="G169" s="10"/>
      <c r="H169" s="10"/>
      <c r="I169" s="10"/>
    </row>
    <row r="170">
      <c r="A170" s="22"/>
      <c r="B170" s="22"/>
      <c r="C170" s="22"/>
      <c r="D170" s="22"/>
      <c r="E170" s="18" t="s">
        <v>147</v>
      </c>
      <c r="F170" s="18">
        <v>7.0</v>
      </c>
      <c r="G170" s="10"/>
      <c r="H170" s="10"/>
      <c r="I170" s="10"/>
    </row>
    <row r="171">
      <c r="A171" s="16" t="s">
        <v>1727</v>
      </c>
      <c r="B171" s="16">
        <v>2000.0</v>
      </c>
      <c r="C171" s="16">
        <v>7.0</v>
      </c>
      <c r="D171" s="156">
        <v>2.8</v>
      </c>
      <c r="E171" s="18" t="s">
        <v>107</v>
      </c>
      <c r="F171" s="18">
        <v>7.0</v>
      </c>
      <c r="G171" s="10"/>
      <c r="H171" s="10"/>
      <c r="I171" s="10"/>
    </row>
    <row r="172">
      <c r="A172" s="21"/>
      <c r="B172" s="21"/>
      <c r="C172" s="21"/>
      <c r="D172" s="21"/>
      <c r="E172" s="18" t="s">
        <v>188</v>
      </c>
      <c r="F172" s="18">
        <v>6.0</v>
      </c>
      <c r="G172" s="10"/>
      <c r="H172" s="10"/>
      <c r="I172" s="10"/>
    </row>
    <row r="173">
      <c r="A173" s="21"/>
      <c r="B173" s="21"/>
      <c r="C173" s="21"/>
      <c r="D173" s="21"/>
      <c r="E173" s="18" t="s">
        <v>203</v>
      </c>
      <c r="F173" s="18">
        <v>7.0</v>
      </c>
      <c r="G173" s="10"/>
      <c r="H173" s="10"/>
      <c r="I173" s="10"/>
    </row>
    <row r="174">
      <c r="A174" s="21"/>
      <c r="B174" s="21"/>
      <c r="C174" s="21"/>
      <c r="D174" s="21"/>
      <c r="E174" s="18" t="s">
        <v>113</v>
      </c>
      <c r="F174" s="18">
        <v>7.0</v>
      </c>
      <c r="G174" s="10"/>
      <c r="H174" s="10"/>
      <c r="I174" s="10"/>
    </row>
    <row r="175">
      <c r="A175" s="21"/>
      <c r="B175" s="21"/>
      <c r="C175" s="21"/>
      <c r="D175" s="21"/>
      <c r="E175" s="18" t="s">
        <v>115</v>
      </c>
      <c r="F175" s="18">
        <v>7.0</v>
      </c>
      <c r="G175" s="10"/>
      <c r="H175" s="10"/>
      <c r="I175" s="10"/>
    </row>
    <row r="176">
      <c r="A176" s="21"/>
      <c r="B176" s="21"/>
      <c r="C176" s="21"/>
      <c r="D176" s="21"/>
      <c r="E176" s="18" t="s">
        <v>130</v>
      </c>
      <c r="F176" s="18">
        <v>7.0</v>
      </c>
      <c r="G176" s="10"/>
      <c r="H176" s="10"/>
      <c r="I176" s="10"/>
    </row>
    <row r="177">
      <c r="A177" s="21"/>
      <c r="B177" s="21"/>
      <c r="C177" s="21"/>
      <c r="D177" s="21"/>
      <c r="E177" s="18" t="s">
        <v>100</v>
      </c>
      <c r="F177" s="18">
        <v>6.0</v>
      </c>
      <c r="G177" s="10"/>
      <c r="H177" s="10"/>
      <c r="I177" s="10"/>
    </row>
    <row r="178">
      <c r="A178" s="22"/>
      <c r="B178" s="22"/>
      <c r="C178" s="22"/>
      <c r="D178" s="22"/>
      <c r="E178" s="18" t="s">
        <v>82</v>
      </c>
      <c r="F178" s="18">
        <v>7.0</v>
      </c>
      <c r="G178" s="10"/>
      <c r="H178" s="10"/>
      <c r="I178" s="10"/>
    </row>
    <row r="179">
      <c r="A179" s="16" t="s">
        <v>1728</v>
      </c>
      <c r="B179" s="16">
        <v>2100.0</v>
      </c>
      <c r="C179" s="16">
        <v>7.0</v>
      </c>
      <c r="D179" s="156">
        <v>2.8</v>
      </c>
      <c r="E179" s="18" t="s">
        <v>223</v>
      </c>
      <c r="F179" s="18">
        <v>7.0</v>
      </c>
      <c r="G179" s="10"/>
      <c r="H179" s="10"/>
      <c r="I179" s="10"/>
    </row>
    <row r="180">
      <c r="A180" s="21"/>
      <c r="B180" s="21"/>
      <c r="C180" s="21"/>
      <c r="D180" s="21"/>
      <c r="E180" s="18" t="s">
        <v>214</v>
      </c>
      <c r="F180" s="18">
        <v>8.0</v>
      </c>
      <c r="G180" s="10"/>
      <c r="H180" s="10"/>
      <c r="I180" s="10"/>
    </row>
    <row r="181">
      <c r="A181" s="21"/>
      <c r="B181" s="21"/>
      <c r="C181" s="21"/>
      <c r="D181" s="21"/>
      <c r="E181" s="18" t="s">
        <v>105</v>
      </c>
      <c r="F181" s="18">
        <v>6.0</v>
      </c>
      <c r="G181" s="10"/>
      <c r="H181" s="10"/>
      <c r="I181" s="10"/>
    </row>
    <row r="182">
      <c r="A182" s="21"/>
      <c r="B182" s="21"/>
      <c r="C182" s="21"/>
      <c r="D182" s="21"/>
      <c r="E182" s="18" t="s">
        <v>102</v>
      </c>
      <c r="F182" s="18">
        <v>6.0</v>
      </c>
      <c r="G182" s="10"/>
      <c r="H182" s="10"/>
      <c r="I182" s="10"/>
    </row>
    <row r="183">
      <c r="A183" s="21"/>
      <c r="B183" s="21"/>
      <c r="C183" s="21"/>
      <c r="D183" s="21"/>
      <c r="E183" s="18" t="s">
        <v>97</v>
      </c>
      <c r="F183" s="18">
        <v>7.0</v>
      </c>
      <c r="G183" s="10"/>
      <c r="H183" s="10"/>
      <c r="I183" s="10"/>
    </row>
    <row r="184">
      <c r="A184" s="21"/>
      <c r="B184" s="21"/>
      <c r="C184" s="21"/>
      <c r="D184" s="21"/>
      <c r="E184" s="18" t="s">
        <v>93</v>
      </c>
      <c r="F184" s="18">
        <v>7.0</v>
      </c>
      <c r="G184" s="10"/>
      <c r="H184" s="10"/>
      <c r="I184" s="10"/>
    </row>
    <row r="185">
      <c r="A185" s="21"/>
      <c r="B185" s="21"/>
      <c r="C185" s="21"/>
      <c r="D185" s="21"/>
      <c r="E185" s="18" t="s">
        <v>113</v>
      </c>
      <c r="F185" s="18">
        <v>7.0</v>
      </c>
      <c r="G185" s="10"/>
      <c r="H185" s="10"/>
      <c r="I185" s="10"/>
    </row>
    <row r="186">
      <c r="A186" s="22"/>
      <c r="B186" s="22"/>
      <c r="C186" s="22"/>
      <c r="D186" s="22"/>
      <c r="E186" s="18" t="s">
        <v>132</v>
      </c>
      <c r="F186" s="18">
        <v>8.0</v>
      </c>
      <c r="G186" s="10"/>
      <c r="H186" s="10"/>
      <c r="I186" s="10"/>
    </row>
    <row r="187">
      <c r="A187" s="16" t="s">
        <v>1729</v>
      </c>
      <c r="B187" s="16">
        <v>2200.0</v>
      </c>
      <c r="C187" s="16">
        <v>8.0</v>
      </c>
      <c r="D187" s="156">
        <v>2.8</v>
      </c>
      <c r="E187" s="18" t="s">
        <v>125</v>
      </c>
      <c r="F187" s="18">
        <v>8.0</v>
      </c>
      <c r="G187" s="10"/>
      <c r="H187" s="10"/>
      <c r="I187" s="10"/>
    </row>
    <row r="188">
      <c r="A188" s="21"/>
      <c r="B188" s="21"/>
      <c r="C188" s="21"/>
      <c r="D188" s="21"/>
      <c r="E188" s="18" t="s">
        <v>115</v>
      </c>
      <c r="F188" s="18">
        <v>7.0</v>
      </c>
      <c r="G188" s="10"/>
      <c r="H188" s="10"/>
      <c r="I188" s="10"/>
    </row>
    <row r="189">
      <c r="A189" s="21"/>
      <c r="B189" s="21"/>
      <c r="C189" s="21"/>
      <c r="D189" s="21"/>
      <c r="E189" s="18" t="s">
        <v>113</v>
      </c>
      <c r="F189" s="18">
        <v>8.0</v>
      </c>
      <c r="G189" s="10"/>
      <c r="H189" s="10"/>
      <c r="I189" s="10"/>
    </row>
    <row r="190">
      <c r="A190" s="21"/>
      <c r="B190" s="21"/>
      <c r="C190" s="21"/>
      <c r="D190" s="21"/>
      <c r="E190" s="18" t="s">
        <v>93</v>
      </c>
      <c r="F190" s="18">
        <v>7.0</v>
      </c>
      <c r="G190" s="10"/>
      <c r="H190" s="10"/>
      <c r="I190" s="10"/>
    </row>
    <row r="191">
      <c r="A191" s="21"/>
      <c r="B191" s="21"/>
      <c r="C191" s="21"/>
      <c r="D191" s="21"/>
      <c r="E191" s="18" t="s">
        <v>97</v>
      </c>
      <c r="F191" s="18">
        <v>8.0</v>
      </c>
      <c r="G191" s="10"/>
      <c r="H191" s="10"/>
      <c r="I191" s="10"/>
    </row>
    <row r="192">
      <c r="A192" s="21"/>
      <c r="B192" s="21"/>
      <c r="C192" s="21"/>
      <c r="D192" s="21"/>
      <c r="E192" s="18" t="s">
        <v>86</v>
      </c>
      <c r="F192" s="18">
        <v>7.0</v>
      </c>
      <c r="G192" s="10"/>
      <c r="H192" s="10"/>
      <c r="I192" s="10"/>
    </row>
    <row r="193">
      <c r="A193" s="21"/>
      <c r="B193" s="21"/>
      <c r="C193" s="21"/>
      <c r="D193" s="21"/>
      <c r="E193" s="18" t="s">
        <v>123</v>
      </c>
      <c r="F193" s="18">
        <v>8.0</v>
      </c>
      <c r="G193" s="10"/>
      <c r="H193" s="10"/>
      <c r="I193" s="10"/>
    </row>
    <row r="194">
      <c r="A194" s="22"/>
      <c r="B194" s="22"/>
      <c r="C194" s="22"/>
      <c r="D194" s="22"/>
      <c r="E194" s="18" t="s">
        <v>184</v>
      </c>
      <c r="F194" s="18">
        <v>7.0</v>
      </c>
      <c r="G194" s="10"/>
      <c r="H194" s="10"/>
      <c r="I194" s="10"/>
    </row>
    <row r="195">
      <c r="A195" s="16" t="s">
        <v>1730</v>
      </c>
      <c r="B195" s="16">
        <v>2300.0</v>
      </c>
      <c r="C195" s="16">
        <v>8.0</v>
      </c>
      <c r="D195" s="156">
        <v>2.8</v>
      </c>
      <c r="E195" s="18" t="s">
        <v>188</v>
      </c>
      <c r="F195" s="18">
        <v>7.0</v>
      </c>
      <c r="G195" s="10"/>
      <c r="H195" s="10"/>
      <c r="I195" s="10"/>
    </row>
    <row r="196">
      <c r="A196" s="21"/>
      <c r="B196" s="21"/>
      <c r="C196" s="21"/>
      <c r="D196" s="21"/>
      <c r="E196" s="18" t="s">
        <v>203</v>
      </c>
      <c r="F196" s="18">
        <v>8.0</v>
      </c>
      <c r="G196" s="10"/>
      <c r="H196" s="10"/>
      <c r="I196" s="10"/>
    </row>
    <row r="197">
      <c r="A197" s="21"/>
      <c r="B197" s="21"/>
      <c r="C197" s="21"/>
      <c r="D197" s="21"/>
      <c r="E197" s="18" t="s">
        <v>107</v>
      </c>
      <c r="F197" s="18">
        <v>7.0</v>
      </c>
      <c r="G197" s="10"/>
      <c r="H197" s="10"/>
      <c r="I197" s="10"/>
    </row>
    <row r="198">
      <c r="A198" s="21"/>
      <c r="B198" s="21"/>
      <c r="C198" s="21"/>
      <c r="D198" s="21"/>
      <c r="E198" s="18" t="s">
        <v>115</v>
      </c>
      <c r="F198" s="18">
        <v>8.0</v>
      </c>
      <c r="G198" s="10"/>
      <c r="H198" s="10"/>
      <c r="I198" s="10"/>
    </row>
    <row r="199">
      <c r="A199" s="21"/>
      <c r="B199" s="21"/>
      <c r="C199" s="21"/>
      <c r="D199" s="21"/>
      <c r="E199" s="18" t="s">
        <v>100</v>
      </c>
      <c r="F199" s="18">
        <v>7.0</v>
      </c>
      <c r="G199" s="10"/>
      <c r="H199" s="10"/>
      <c r="I199" s="10"/>
    </row>
    <row r="200">
      <c r="A200" s="21"/>
      <c r="B200" s="21"/>
      <c r="C200" s="21"/>
      <c r="D200" s="21"/>
      <c r="E200" s="18" t="s">
        <v>113</v>
      </c>
      <c r="F200" s="18">
        <v>8.0</v>
      </c>
      <c r="G200" s="10"/>
      <c r="H200" s="10"/>
      <c r="I200" s="10"/>
    </row>
    <row r="201">
      <c r="A201" s="21"/>
      <c r="B201" s="21"/>
      <c r="C201" s="21"/>
      <c r="D201" s="21"/>
      <c r="E201" s="18" t="s">
        <v>221</v>
      </c>
      <c r="F201" s="18">
        <v>8.0</v>
      </c>
      <c r="G201" s="10"/>
      <c r="H201" s="10"/>
      <c r="I201" s="10"/>
    </row>
    <row r="202">
      <c r="A202" s="22"/>
      <c r="B202" s="22"/>
      <c r="C202" s="22"/>
      <c r="D202" s="22"/>
      <c r="E202" s="18" t="s">
        <v>199</v>
      </c>
      <c r="F202" s="18">
        <v>6.0</v>
      </c>
      <c r="G202" s="10"/>
      <c r="H202" s="10"/>
      <c r="I202" s="10"/>
    </row>
    <row r="203">
      <c r="A203" s="16" t="s">
        <v>1731</v>
      </c>
      <c r="B203" s="16">
        <v>2400.0</v>
      </c>
      <c r="C203" s="16">
        <v>8.0</v>
      </c>
      <c r="D203" s="156">
        <v>2.8</v>
      </c>
      <c r="E203" s="18" t="s">
        <v>97</v>
      </c>
      <c r="F203" s="18">
        <v>8.0</v>
      </c>
      <c r="G203" s="10"/>
      <c r="H203" s="10"/>
      <c r="I203" s="10"/>
    </row>
    <row r="204">
      <c r="A204" s="21"/>
      <c r="B204" s="21"/>
      <c r="C204" s="21"/>
      <c r="D204" s="21"/>
      <c r="E204" s="18" t="s">
        <v>115</v>
      </c>
      <c r="F204" s="18">
        <v>8.0</v>
      </c>
      <c r="G204" s="10"/>
      <c r="H204" s="10"/>
      <c r="I204" s="10"/>
    </row>
    <row r="205">
      <c r="A205" s="21"/>
      <c r="B205" s="21"/>
      <c r="C205" s="21"/>
      <c r="D205" s="21"/>
      <c r="E205" s="18" t="s">
        <v>123</v>
      </c>
      <c r="F205" s="18">
        <v>8.0</v>
      </c>
      <c r="G205" s="10"/>
      <c r="H205" s="10"/>
      <c r="I205" s="10"/>
    </row>
    <row r="206">
      <c r="A206" s="21"/>
      <c r="B206" s="21"/>
      <c r="C206" s="21"/>
      <c r="D206" s="21"/>
      <c r="E206" s="18" t="s">
        <v>113</v>
      </c>
      <c r="F206" s="18">
        <v>8.0</v>
      </c>
      <c r="G206" s="10"/>
      <c r="H206" s="10"/>
      <c r="I206" s="10"/>
    </row>
    <row r="207">
      <c r="A207" s="21"/>
      <c r="B207" s="21"/>
      <c r="C207" s="21"/>
      <c r="D207" s="21"/>
      <c r="E207" s="18" t="s">
        <v>82</v>
      </c>
      <c r="F207" s="18">
        <v>8.0</v>
      </c>
      <c r="G207" s="10"/>
      <c r="H207" s="10"/>
      <c r="I207" s="10"/>
    </row>
    <row r="208">
      <c r="A208" s="21"/>
      <c r="B208" s="21"/>
      <c r="C208" s="21"/>
      <c r="D208" s="21"/>
      <c r="E208" s="18" t="s">
        <v>188</v>
      </c>
      <c r="F208" s="18">
        <v>7.0</v>
      </c>
      <c r="G208" s="10"/>
      <c r="H208" s="10"/>
      <c r="I208" s="10"/>
    </row>
    <row r="209">
      <c r="A209" s="21"/>
      <c r="B209" s="21"/>
      <c r="C209" s="21"/>
      <c r="D209" s="21"/>
      <c r="E209" s="18" t="s">
        <v>252</v>
      </c>
      <c r="F209" s="18">
        <v>8.0</v>
      </c>
      <c r="G209" s="10"/>
      <c r="H209" s="10"/>
      <c r="I209" s="10"/>
    </row>
    <row r="210">
      <c r="A210" s="22"/>
      <c r="B210" s="22"/>
      <c r="C210" s="22"/>
      <c r="D210" s="22"/>
      <c r="E210" s="18" t="s">
        <v>214</v>
      </c>
      <c r="F210" s="18">
        <v>8.0</v>
      </c>
      <c r="G210" s="10"/>
      <c r="H210" s="10"/>
      <c r="I210" s="10"/>
    </row>
    <row r="211">
      <c r="A211" s="16" t="s">
        <v>1732</v>
      </c>
      <c r="B211" s="16">
        <v>2500.0</v>
      </c>
      <c r="C211" s="16">
        <v>8.0</v>
      </c>
      <c r="D211" s="156">
        <v>2.8</v>
      </c>
      <c r="E211" s="18" t="s">
        <v>115</v>
      </c>
      <c r="F211" s="18">
        <v>8.0</v>
      </c>
      <c r="G211" s="10"/>
      <c r="H211" s="10"/>
      <c r="I211" s="10"/>
    </row>
    <row r="212">
      <c r="A212" s="21"/>
      <c r="B212" s="21"/>
      <c r="C212" s="21"/>
      <c r="D212" s="21"/>
      <c r="E212" s="18" t="s">
        <v>113</v>
      </c>
      <c r="F212" s="18">
        <v>8.0</v>
      </c>
      <c r="G212" s="10"/>
      <c r="H212" s="10"/>
      <c r="I212" s="10"/>
    </row>
    <row r="213">
      <c r="A213" s="21"/>
      <c r="B213" s="21"/>
      <c r="C213" s="21"/>
      <c r="D213" s="21"/>
      <c r="E213" s="18" t="s">
        <v>125</v>
      </c>
      <c r="F213" s="18">
        <v>8.0</v>
      </c>
      <c r="G213" s="10"/>
      <c r="H213" s="10"/>
      <c r="I213" s="10"/>
    </row>
    <row r="214">
      <c r="A214" s="21"/>
      <c r="B214" s="21"/>
      <c r="C214" s="21"/>
      <c r="D214" s="21"/>
      <c r="E214" s="18" t="s">
        <v>130</v>
      </c>
      <c r="F214" s="18">
        <v>8.0</v>
      </c>
      <c r="G214" s="10"/>
      <c r="H214" s="10"/>
      <c r="I214" s="10"/>
    </row>
    <row r="215">
      <c r="A215" s="21"/>
      <c r="B215" s="21"/>
      <c r="C215" s="21"/>
      <c r="D215" s="21"/>
      <c r="E215" s="18" t="s">
        <v>107</v>
      </c>
      <c r="F215" s="18">
        <v>7.0</v>
      </c>
      <c r="G215" s="10"/>
      <c r="H215" s="10"/>
      <c r="I215" s="10"/>
    </row>
    <row r="216">
      <c r="A216" s="21"/>
      <c r="B216" s="21"/>
      <c r="C216" s="21"/>
      <c r="D216" s="21"/>
      <c r="E216" s="18" t="s">
        <v>190</v>
      </c>
      <c r="F216" s="18">
        <v>8.0</v>
      </c>
      <c r="G216" s="10"/>
      <c r="H216" s="10"/>
      <c r="I216" s="10"/>
    </row>
    <row r="217">
      <c r="A217" s="21"/>
      <c r="B217" s="21"/>
      <c r="C217" s="21"/>
      <c r="D217" s="21"/>
      <c r="E217" s="18" t="s">
        <v>147</v>
      </c>
      <c r="F217" s="18">
        <v>7.0</v>
      </c>
      <c r="G217" s="10"/>
      <c r="H217" s="10"/>
      <c r="I217" s="10"/>
    </row>
    <row r="218">
      <c r="A218" s="22"/>
      <c r="B218" s="22"/>
      <c r="C218" s="22"/>
      <c r="D218" s="22"/>
      <c r="E218" s="18" t="s">
        <v>100</v>
      </c>
      <c r="F218" s="18">
        <v>7.0</v>
      </c>
      <c r="G218" s="10"/>
      <c r="H218" s="10"/>
      <c r="I218" s="10"/>
    </row>
    <row r="219">
      <c r="A219" s="16" t="s">
        <v>1733</v>
      </c>
      <c r="B219" s="16">
        <v>2600.0</v>
      </c>
      <c r="C219" s="16">
        <v>8.0</v>
      </c>
      <c r="D219" s="156">
        <v>2.8</v>
      </c>
      <c r="E219" s="18" t="s">
        <v>179</v>
      </c>
      <c r="F219" s="18">
        <v>7.0</v>
      </c>
      <c r="G219" s="10"/>
      <c r="H219" s="10"/>
      <c r="I219" s="10"/>
    </row>
    <row r="220">
      <c r="A220" s="21"/>
      <c r="B220" s="21"/>
      <c r="C220" s="21"/>
      <c r="D220" s="21"/>
      <c r="E220" s="18" t="s">
        <v>113</v>
      </c>
      <c r="F220" s="18">
        <v>8.0</v>
      </c>
      <c r="G220" s="10"/>
      <c r="H220" s="10"/>
      <c r="I220" s="10"/>
    </row>
    <row r="221">
      <c r="A221" s="21"/>
      <c r="B221" s="21"/>
      <c r="C221" s="21"/>
      <c r="D221" s="21"/>
      <c r="E221" s="18" t="s">
        <v>132</v>
      </c>
      <c r="F221" s="18">
        <v>8.0</v>
      </c>
      <c r="G221" s="10"/>
      <c r="H221" s="10"/>
      <c r="I221" s="10"/>
    </row>
    <row r="222">
      <c r="A222" s="21"/>
      <c r="B222" s="21"/>
      <c r="C222" s="21"/>
      <c r="D222" s="21"/>
      <c r="E222" s="18" t="s">
        <v>115</v>
      </c>
      <c r="F222" s="18">
        <v>8.0</v>
      </c>
      <c r="G222" s="10"/>
      <c r="H222" s="10"/>
      <c r="I222" s="10"/>
    </row>
    <row r="223">
      <c r="A223" s="21"/>
      <c r="B223" s="21"/>
      <c r="C223" s="21"/>
      <c r="D223" s="21"/>
      <c r="E223" s="18" t="s">
        <v>147</v>
      </c>
      <c r="F223" s="18">
        <v>7.0</v>
      </c>
      <c r="G223" s="10"/>
      <c r="H223" s="10"/>
      <c r="I223" s="10"/>
    </row>
    <row r="224">
      <c r="A224" s="21"/>
      <c r="B224" s="21"/>
      <c r="C224" s="21"/>
      <c r="D224" s="21"/>
      <c r="E224" s="18" t="s">
        <v>86</v>
      </c>
      <c r="F224" s="18">
        <v>8.0</v>
      </c>
      <c r="G224" s="10"/>
      <c r="H224" s="10"/>
      <c r="I224" s="10"/>
    </row>
    <row r="225">
      <c r="A225" s="21"/>
      <c r="B225" s="21"/>
      <c r="C225" s="21"/>
      <c r="D225" s="21"/>
      <c r="E225" s="18" t="s">
        <v>252</v>
      </c>
      <c r="F225" s="18">
        <v>8.0</v>
      </c>
      <c r="G225" s="10"/>
      <c r="H225" s="10"/>
      <c r="I225" s="10"/>
    </row>
    <row r="226">
      <c r="A226" s="22"/>
      <c r="B226" s="22"/>
      <c r="C226" s="22"/>
      <c r="D226" s="22"/>
      <c r="E226" s="18" t="s">
        <v>130</v>
      </c>
      <c r="F226" s="18">
        <v>8.0</v>
      </c>
      <c r="G226" s="10"/>
      <c r="H226" s="10"/>
      <c r="I226" s="10"/>
    </row>
    <row r="227">
      <c r="A227" s="16" t="s">
        <v>1734</v>
      </c>
      <c r="B227" s="16">
        <v>2700.0</v>
      </c>
      <c r="C227" s="16">
        <v>9.0</v>
      </c>
      <c r="D227" s="156">
        <v>2.8</v>
      </c>
      <c r="E227" s="18" t="s">
        <v>223</v>
      </c>
      <c r="F227" s="18">
        <v>7.0</v>
      </c>
      <c r="G227" s="10"/>
      <c r="H227" s="10"/>
      <c r="I227" s="10"/>
    </row>
    <row r="228">
      <c r="A228" s="21"/>
      <c r="B228" s="21"/>
      <c r="C228" s="21"/>
      <c r="D228" s="21"/>
      <c r="E228" s="18" t="s">
        <v>102</v>
      </c>
      <c r="F228" s="18">
        <v>7.0</v>
      </c>
      <c r="G228" s="10"/>
      <c r="H228" s="10"/>
      <c r="I228" s="10"/>
    </row>
    <row r="229">
      <c r="A229" s="21"/>
      <c r="B229" s="21"/>
      <c r="C229" s="21"/>
      <c r="D229" s="21"/>
      <c r="E229" s="18" t="s">
        <v>139</v>
      </c>
      <c r="F229" s="18">
        <v>8.0</v>
      </c>
      <c r="G229" s="10"/>
      <c r="H229" s="10"/>
      <c r="I229" s="10"/>
    </row>
    <row r="230">
      <c r="A230" s="21"/>
      <c r="B230" s="21"/>
      <c r="C230" s="21"/>
      <c r="D230" s="21"/>
      <c r="E230" s="18" t="s">
        <v>177</v>
      </c>
      <c r="F230" s="18">
        <v>7.0</v>
      </c>
      <c r="G230" s="10"/>
      <c r="H230" s="10"/>
      <c r="I230" s="10"/>
    </row>
    <row r="231">
      <c r="A231" s="21"/>
      <c r="B231" s="21"/>
      <c r="C231" s="21"/>
      <c r="D231" s="21"/>
      <c r="E231" s="18" t="s">
        <v>184</v>
      </c>
      <c r="F231" s="18">
        <v>8.0</v>
      </c>
      <c r="G231" s="10"/>
      <c r="H231" s="10"/>
      <c r="I231" s="10"/>
    </row>
    <row r="232">
      <c r="A232" s="21"/>
      <c r="B232" s="21"/>
      <c r="C232" s="21"/>
      <c r="D232" s="21"/>
      <c r="E232" s="18" t="s">
        <v>130</v>
      </c>
      <c r="F232" s="18">
        <v>8.0</v>
      </c>
      <c r="G232" s="10"/>
      <c r="H232" s="10"/>
      <c r="I232" s="10"/>
    </row>
    <row r="233">
      <c r="A233" s="21"/>
      <c r="B233" s="21"/>
      <c r="C233" s="21"/>
      <c r="D233" s="21"/>
      <c r="E233" s="18" t="s">
        <v>179</v>
      </c>
      <c r="F233" s="18">
        <v>7.0</v>
      </c>
      <c r="G233" s="10"/>
      <c r="H233" s="10"/>
      <c r="I233" s="10"/>
    </row>
    <row r="234">
      <c r="A234" s="22"/>
      <c r="B234" s="22"/>
      <c r="C234" s="22"/>
      <c r="D234" s="22"/>
      <c r="E234" s="18" t="s">
        <v>115</v>
      </c>
      <c r="F234" s="18">
        <v>8.0</v>
      </c>
      <c r="G234" s="10"/>
      <c r="H234" s="10"/>
      <c r="I234" s="10"/>
    </row>
    <row r="235">
      <c r="A235" s="16" t="s">
        <v>1735</v>
      </c>
      <c r="B235" s="16">
        <v>2800.0</v>
      </c>
      <c r="C235" s="16">
        <v>9.0</v>
      </c>
      <c r="D235" s="156">
        <v>2.8</v>
      </c>
      <c r="E235" s="18" t="s">
        <v>221</v>
      </c>
      <c r="F235" s="18">
        <v>8.0</v>
      </c>
      <c r="G235" s="10"/>
      <c r="H235" s="10"/>
      <c r="I235" s="10"/>
    </row>
    <row r="236">
      <c r="A236" s="21"/>
      <c r="B236" s="21"/>
      <c r="C236" s="21"/>
      <c r="D236" s="21"/>
      <c r="E236" s="18" t="s">
        <v>222</v>
      </c>
      <c r="F236" s="18">
        <v>7.0</v>
      </c>
      <c r="G236" s="10"/>
      <c r="H236" s="10"/>
      <c r="I236" s="10"/>
    </row>
    <row r="237">
      <c r="A237" s="21"/>
      <c r="B237" s="21"/>
      <c r="C237" s="21"/>
      <c r="D237" s="21"/>
      <c r="E237" s="18" t="s">
        <v>224</v>
      </c>
      <c r="F237" s="18">
        <v>8.0</v>
      </c>
      <c r="G237" s="10"/>
      <c r="H237" s="10"/>
      <c r="I237" s="10"/>
    </row>
    <row r="238">
      <c r="A238" s="21"/>
      <c r="B238" s="21"/>
      <c r="C238" s="21"/>
      <c r="D238" s="21"/>
      <c r="E238" s="18" t="s">
        <v>226</v>
      </c>
      <c r="F238" s="18">
        <v>9.0</v>
      </c>
      <c r="G238" s="10"/>
      <c r="H238" s="10"/>
      <c r="I238" s="10"/>
    </row>
    <row r="239">
      <c r="A239" s="21"/>
      <c r="B239" s="21"/>
      <c r="C239" s="21"/>
      <c r="D239" s="21"/>
      <c r="E239" s="18" t="s">
        <v>326</v>
      </c>
      <c r="F239" s="18">
        <v>8.0</v>
      </c>
      <c r="G239" s="10"/>
      <c r="H239" s="10"/>
      <c r="I239" s="10"/>
    </row>
    <row r="240">
      <c r="A240" s="21"/>
      <c r="B240" s="21"/>
      <c r="C240" s="21"/>
      <c r="D240" s="21"/>
      <c r="E240" s="18" t="s">
        <v>113</v>
      </c>
      <c r="F240" s="18">
        <v>8.0</v>
      </c>
      <c r="G240" s="10"/>
      <c r="H240" s="10"/>
      <c r="I240" s="10"/>
    </row>
    <row r="241">
      <c r="A241" s="21"/>
      <c r="B241" s="21"/>
      <c r="C241" s="21"/>
      <c r="D241" s="21"/>
      <c r="E241" s="18" t="s">
        <v>389</v>
      </c>
      <c r="F241" s="18">
        <v>9.0</v>
      </c>
      <c r="G241" s="10"/>
      <c r="H241" s="10"/>
      <c r="I241" s="10"/>
    </row>
    <row r="242">
      <c r="A242" s="22"/>
      <c r="B242" s="22"/>
      <c r="C242" s="22"/>
      <c r="D242" s="22"/>
      <c r="E242" s="18" t="s">
        <v>308</v>
      </c>
      <c r="F242" s="18">
        <v>8.0</v>
      </c>
      <c r="G242" s="10"/>
      <c r="H242" s="10"/>
      <c r="I242" s="10"/>
    </row>
    <row r="243">
      <c r="A243" s="16" t="s">
        <v>1736</v>
      </c>
      <c r="B243" s="16">
        <v>2900.0</v>
      </c>
      <c r="C243" s="16">
        <v>9.0</v>
      </c>
      <c r="D243" s="156">
        <v>2.8</v>
      </c>
      <c r="E243" s="18" t="s">
        <v>113</v>
      </c>
      <c r="F243" s="18">
        <v>8.0</v>
      </c>
      <c r="G243" s="10"/>
      <c r="H243" s="10"/>
      <c r="I243" s="10"/>
    </row>
    <row r="244">
      <c r="A244" s="21"/>
      <c r="B244" s="21"/>
      <c r="C244" s="21"/>
      <c r="D244" s="21"/>
      <c r="E244" s="18" t="s">
        <v>93</v>
      </c>
      <c r="F244" s="18">
        <v>8.0</v>
      </c>
      <c r="G244" s="10"/>
      <c r="H244" s="10"/>
      <c r="I244" s="10"/>
    </row>
    <row r="245">
      <c r="A245" s="21"/>
      <c r="B245" s="21"/>
      <c r="C245" s="21"/>
      <c r="D245" s="21"/>
      <c r="E245" s="18" t="s">
        <v>252</v>
      </c>
      <c r="F245" s="18">
        <v>8.0</v>
      </c>
      <c r="G245" s="10"/>
      <c r="H245" s="10"/>
      <c r="I245" s="10"/>
    </row>
    <row r="246">
      <c r="A246" s="21"/>
      <c r="B246" s="21"/>
      <c r="C246" s="21"/>
      <c r="D246" s="21"/>
      <c r="E246" s="18" t="s">
        <v>82</v>
      </c>
      <c r="F246" s="18">
        <v>8.0</v>
      </c>
      <c r="G246" s="10"/>
      <c r="H246" s="10"/>
      <c r="I246" s="10"/>
    </row>
    <row r="247">
      <c r="A247" s="21"/>
      <c r="B247" s="21"/>
      <c r="C247" s="21"/>
      <c r="D247" s="21"/>
      <c r="E247" s="18" t="s">
        <v>139</v>
      </c>
      <c r="F247" s="18">
        <v>8.0</v>
      </c>
      <c r="G247" s="10"/>
      <c r="H247" s="10"/>
      <c r="I247" s="10"/>
    </row>
    <row r="248">
      <c r="A248" s="21"/>
      <c r="B248" s="21"/>
      <c r="C248" s="21"/>
      <c r="D248" s="21"/>
      <c r="E248" s="18" t="s">
        <v>107</v>
      </c>
      <c r="F248" s="18">
        <v>8.0</v>
      </c>
      <c r="G248" s="10"/>
      <c r="H248" s="10"/>
      <c r="I248" s="10"/>
    </row>
    <row r="249">
      <c r="A249" s="21"/>
      <c r="B249" s="21"/>
      <c r="C249" s="21"/>
      <c r="D249" s="21"/>
      <c r="E249" s="18" t="s">
        <v>188</v>
      </c>
      <c r="F249" s="18">
        <v>8.0</v>
      </c>
      <c r="G249" s="10"/>
      <c r="H249" s="10"/>
      <c r="I249" s="10"/>
    </row>
    <row r="250">
      <c r="A250" s="22"/>
      <c r="B250" s="22"/>
      <c r="C250" s="22"/>
      <c r="D250" s="22"/>
      <c r="E250" s="18" t="s">
        <v>320</v>
      </c>
      <c r="F250" s="18">
        <v>8.0</v>
      </c>
      <c r="G250" s="10"/>
      <c r="H250" s="10"/>
      <c r="I250" s="10"/>
    </row>
    <row r="251">
      <c r="A251" s="16" t="s">
        <v>1737</v>
      </c>
      <c r="B251" s="16">
        <v>3000.0</v>
      </c>
      <c r="C251" s="16">
        <v>10.0</v>
      </c>
      <c r="D251" s="156">
        <v>2.8</v>
      </c>
      <c r="E251" s="18" t="s">
        <v>178</v>
      </c>
      <c r="F251" s="18">
        <v>9.0</v>
      </c>
      <c r="G251" s="10"/>
      <c r="H251" s="10"/>
      <c r="I251" s="10"/>
    </row>
    <row r="252">
      <c r="A252" s="21"/>
      <c r="B252" s="21"/>
      <c r="C252" s="21"/>
      <c r="D252" s="21"/>
      <c r="E252" s="18" t="s">
        <v>311</v>
      </c>
      <c r="F252" s="18">
        <v>9.0</v>
      </c>
      <c r="G252" s="10"/>
      <c r="H252" s="10"/>
      <c r="I252" s="10"/>
    </row>
    <row r="253">
      <c r="A253" s="21"/>
      <c r="B253" s="21"/>
      <c r="C253" s="21"/>
      <c r="D253" s="21"/>
      <c r="E253" s="18" t="s">
        <v>326</v>
      </c>
      <c r="F253" s="18">
        <v>9.0</v>
      </c>
      <c r="G253" s="10"/>
      <c r="H253" s="10"/>
      <c r="I253" s="10"/>
    </row>
    <row r="254">
      <c r="A254" s="21"/>
      <c r="B254" s="21"/>
      <c r="C254" s="21"/>
      <c r="D254" s="21"/>
      <c r="E254" s="18" t="s">
        <v>188</v>
      </c>
      <c r="F254" s="18">
        <v>9.0</v>
      </c>
      <c r="G254" s="10"/>
      <c r="H254" s="10"/>
      <c r="I254" s="10"/>
    </row>
    <row r="255">
      <c r="A255" s="21"/>
      <c r="B255" s="21"/>
      <c r="C255" s="21"/>
      <c r="D255" s="21"/>
      <c r="E255" s="18" t="s">
        <v>113</v>
      </c>
      <c r="F255" s="18">
        <v>9.0</v>
      </c>
      <c r="G255" s="10"/>
      <c r="H255" s="10"/>
      <c r="I255" s="10"/>
    </row>
    <row r="256">
      <c r="A256" s="21"/>
      <c r="B256" s="21"/>
      <c r="C256" s="21"/>
      <c r="D256" s="21"/>
      <c r="E256" s="18" t="s">
        <v>82</v>
      </c>
      <c r="F256" s="18">
        <v>9.0</v>
      </c>
      <c r="G256" s="10"/>
      <c r="H256" s="10"/>
      <c r="I256" s="10"/>
    </row>
    <row r="257">
      <c r="A257" s="21"/>
      <c r="B257" s="21"/>
      <c r="C257" s="21"/>
      <c r="D257" s="21"/>
      <c r="E257" s="18" t="s">
        <v>100</v>
      </c>
      <c r="F257" s="18">
        <v>9.0</v>
      </c>
      <c r="G257" s="10"/>
      <c r="H257" s="10"/>
      <c r="I257" s="10"/>
    </row>
    <row r="258">
      <c r="A258" s="22"/>
      <c r="B258" s="22"/>
      <c r="C258" s="22"/>
      <c r="D258" s="22"/>
      <c r="E258" s="18" t="s">
        <v>93</v>
      </c>
      <c r="F258" s="18">
        <v>9.0</v>
      </c>
      <c r="G258" s="10"/>
      <c r="H258" s="10"/>
      <c r="I258" s="10"/>
    </row>
    <row r="259">
      <c r="A259" s="16" t="s">
        <v>1738</v>
      </c>
      <c r="B259" s="16">
        <v>3100.0</v>
      </c>
      <c r="C259" s="16">
        <v>10.0</v>
      </c>
      <c r="D259" s="156">
        <v>2.8</v>
      </c>
      <c r="E259" s="18" t="s">
        <v>274</v>
      </c>
      <c r="F259" s="18">
        <v>9.0</v>
      </c>
      <c r="G259" s="10"/>
      <c r="H259" s="10"/>
      <c r="I259" s="10"/>
    </row>
    <row r="260">
      <c r="A260" s="21"/>
      <c r="B260" s="21"/>
      <c r="C260" s="21"/>
      <c r="D260" s="21"/>
      <c r="E260" s="18" t="s">
        <v>107</v>
      </c>
      <c r="F260" s="18">
        <v>9.0</v>
      </c>
      <c r="G260" s="10"/>
      <c r="H260" s="10"/>
      <c r="I260" s="10"/>
    </row>
    <row r="261">
      <c r="A261" s="21"/>
      <c r="B261" s="21"/>
      <c r="C261" s="21"/>
      <c r="D261" s="21"/>
      <c r="E261" s="18" t="s">
        <v>203</v>
      </c>
      <c r="F261" s="18">
        <v>9.0</v>
      </c>
      <c r="G261" s="10"/>
      <c r="H261" s="10"/>
      <c r="I261" s="10"/>
    </row>
    <row r="262">
      <c r="A262" s="21"/>
      <c r="B262" s="21"/>
      <c r="C262" s="21"/>
      <c r="D262" s="21"/>
      <c r="E262" s="18" t="s">
        <v>212</v>
      </c>
      <c r="F262" s="18">
        <v>9.0</v>
      </c>
      <c r="G262" s="10"/>
      <c r="H262" s="10"/>
      <c r="I262" s="10"/>
    </row>
    <row r="263">
      <c r="A263" s="21"/>
      <c r="B263" s="21"/>
      <c r="C263" s="21"/>
      <c r="D263" s="21"/>
      <c r="E263" s="18" t="s">
        <v>177</v>
      </c>
      <c r="F263" s="18">
        <v>10.0</v>
      </c>
      <c r="G263" s="10"/>
      <c r="H263" s="10"/>
      <c r="I263" s="10"/>
    </row>
    <row r="264">
      <c r="A264" s="21"/>
      <c r="B264" s="21"/>
      <c r="C264" s="21"/>
      <c r="D264" s="21"/>
      <c r="E264" s="18" t="s">
        <v>254</v>
      </c>
      <c r="F264" s="18">
        <v>9.0</v>
      </c>
      <c r="G264" s="10"/>
      <c r="H264" s="10"/>
      <c r="I264" s="10"/>
    </row>
    <row r="265">
      <c r="A265" s="21"/>
      <c r="B265" s="21"/>
      <c r="C265" s="21"/>
      <c r="D265" s="21"/>
      <c r="E265" s="18" t="s">
        <v>310</v>
      </c>
      <c r="F265" s="18">
        <v>9.0</v>
      </c>
      <c r="G265" s="10"/>
      <c r="H265" s="10"/>
      <c r="I265" s="10"/>
    </row>
    <row r="266">
      <c r="A266" s="22"/>
      <c r="B266" s="22"/>
      <c r="C266" s="22"/>
      <c r="D266" s="22"/>
      <c r="E266" s="18" t="s">
        <v>129</v>
      </c>
      <c r="F266" s="18">
        <v>10.0</v>
      </c>
      <c r="G266" s="10"/>
      <c r="H266" s="10"/>
      <c r="I266" s="10"/>
    </row>
    <row r="267">
      <c r="A267" s="16" t="s">
        <v>1739</v>
      </c>
      <c r="B267" s="16">
        <v>3200.0</v>
      </c>
      <c r="C267" s="16">
        <v>10.0</v>
      </c>
      <c r="D267" s="156">
        <v>2.8</v>
      </c>
      <c r="E267" s="18" t="s">
        <v>214</v>
      </c>
      <c r="F267" s="18">
        <v>10.0</v>
      </c>
      <c r="G267" s="10"/>
      <c r="H267" s="10"/>
      <c r="I267" s="10"/>
    </row>
    <row r="268">
      <c r="A268" s="21"/>
      <c r="B268" s="21"/>
      <c r="C268" s="21"/>
      <c r="D268" s="21"/>
      <c r="E268" s="18" t="s">
        <v>97</v>
      </c>
      <c r="F268" s="18">
        <v>10.0</v>
      </c>
      <c r="G268" s="10"/>
      <c r="H268" s="10"/>
      <c r="I268" s="10"/>
    </row>
    <row r="269">
      <c r="A269" s="21"/>
      <c r="B269" s="21"/>
      <c r="C269" s="21"/>
      <c r="D269" s="21"/>
      <c r="E269" s="18" t="s">
        <v>179</v>
      </c>
      <c r="F269" s="18">
        <v>10.0</v>
      </c>
      <c r="G269" s="10"/>
      <c r="H269" s="10"/>
      <c r="I269" s="10"/>
    </row>
    <row r="270">
      <c r="A270" s="21"/>
      <c r="B270" s="21"/>
      <c r="C270" s="21"/>
      <c r="D270" s="21"/>
      <c r="E270" s="18" t="s">
        <v>115</v>
      </c>
      <c r="F270" s="18">
        <v>10.0</v>
      </c>
      <c r="G270" s="10"/>
      <c r="H270" s="10"/>
      <c r="I270" s="10"/>
    </row>
    <row r="271">
      <c r="A271" s="21"/>
      <c r="B271" s="21"/>
      <c r="C271" s="21"/>
      <c r="D271" s="21"/>
      <c r="E271" s="18" t="s">
        <v>192</v>
      </c>
      <c r="F271" s="18">
        <v>10.0</v>
      </c>
      <c r="G271" s="10"/>
      <c r="H271" s="10"/>
      <c r="I271" s="10"/>
    </row>
    <row r="272">
      <c r="A272" s="21"/>
      <c r="B272" s="21"/>
      <c r="C272" s="21"/>
      <c r="D272" s="21"/>
      <c r="E272" s="18" t="s">
        <v>102</v>
      </c>
      <c r="F272" s="18">
        <v>10.0</v>
      </c>
      <c r="G272" s="10"/>
      <c r="H272" s="10"/>
      <c r="I272" s="10"/>
    </row>
    <row r="273">
      <c r="A273" s="21"/>
      <c r="B273" s="21"/>
      <c r="C273" s="21"/>
      <c r="D273" s="21"/>
      <c r="E273" s="18" t="s">
        <v>82</v>
      </c>
      <c r="F273" s="18">
        <v>10.0</v>
      </c>
      <c r="G273" s="10"/>
      <c r="H273" s="10"/>
      <c r="I273" s="10"/>
    </row>
    <row r="274">
      <c r="A274" s="22"/>
      <c r="B274" s="22"/>
      <c r="C274" s="22"/>
      <c r="D274" s="22"/>
      <c r="E274" s="18" t="s">
        <v>213</v>
      </c>
      <c r="F274" s="18">
        <v>10.0</v>
      </c>
      <c r="G274" s="10"/>
      <c r="H274" s="10"/>
      <c r="I274" s="10"/>
    </row>
    <row r="275">
      <c r="A275" s="16" t="s">
        <v>1740</v>
      </c>
      <c r="B275" s="16">
        <v>3300.0</v>
      </c>
      <c r="C275" s="16">
        <v>10.0</v>
      </c>
      <c r="D275" s="156">
        <v>2.8</v>
      </c>
      <c r="E275" s="18" t="s">
        <v>147</v>
      </c>
      <c r="F275" s="18">
        <v>11.0</v>
      </c>
      <c r="G275" s="10"/>
      <c r="H275" s="10"/>
      <c r="I275" s="10"/>
    </row>
    <row r="276">
      <c r="A276" s="21"/>
      <c r="B276" s="21"/>
      <c r="C276" s="21"/>
      <c r="D276" s="21"/>
      <c r="E276" s="18" t="s">
        <v>274</v>
      </c>
      <c r="F276" s="18">
        <v>11.0</v>
      </c>
      <c r="G276" s="10"/>
      <c r="H276" s="10"/>
      <c r="I276" s="10"/>
    </row>
    <row r="277">
      <c r="A277" s="21"/>
      <c r="B277" s="21"/>
      <c r="C277" s="21"/>
      <c r="D277" s="21"/>
      <c r="E277" s="18" t="s">
        <v>300</v>
      </c>
      <c r="F277" s="18">
        <v>11.0</v>
      </c>
      <c r="G277" s="10"/>
      <c r="H277" s="10"/>
      <c r="I277" s="10"/>
    </row>
    <row r="278">
      <c r="A278" s="21"/>
      <c r="B278" s="21"/>
      <c r="C278" s="21"/>
      <c r="D278" s="21"/>
      <c r="E278" s="18" t="s">
        <v>113</v>
      </c>
      <c r="F278" s="18">
        <v>11.0</v>
      </c>
      <c r="G278" s="10"/>
      <c r="H278" s="10"/>
      <c r="I278" s="10"/>
    </row>
    <row r="279">
      <c r="A279" s="21"/>
      <c r="B279" s="21"/>
      <c r="C279" s="21"/>
      <c r="D279" s="21"/>
      <c r="E279" s="18" t="s">
        <v>222</v>
      </c>
      <c r="F279" s="18">
        <v>11.0</v>
      </c>
      <c r="G279" s="10"/>
      <c r="H279" s="10"/>
      <c r="I279" s="10"/>
    </row>
    <row r="280">
      <c r="A280" s="21"/>
      <c r="B280" s="21"/>
      <c r="C280" s="21"/>
      <c r="D280" s="21"/>
      <c r="E280" s="18" t="s">
        <v>199</v>
      </c>
      <c r="F280" s="18">
        <v>11.0</v>
      </c>
      <c r="G280" s="10"/>
      <c r="H280" s="10"/>
      <c r="I280" s="10"/>
    </row>
    <row r="281">
      <c r="A281" s="21"/>
      <c r="B281" s="21"/>
      <c r="C281" s="21"/>
      <c r="D281" s="21"/>
      <c r="E281" s="18" t="s">
        <v>188</v>
      </c>
      <c r="F281" s="18">
        <v>11.0</v>
      </c>
      <c r="G281" s="10"/>
      <c r="H281" s="10"/>
      <c r="I281" s="10"/>
    </row>
    <row r="282">
      <c r="A282" s="22"/>
      <c r="B282" s="22"/>
      <c r="C282" s="22"/>
      <c r="D282" s="22"/>
      <c r="E282" s="18" t="s">
        <v>93</v>
      </c>
      <c r="F282" s="18">
        <v>11.0</v>
      </c>
      <c r="G282" s="10"/>
      <c r="H282" s="10"/>
      <c r="I282" s="10"/>
    </row>
    <row r="283">
      <c r="A283" s="16" t="s">
        <v>1741</v>
      </c>
      <c r="B283" s="16">
        <v>3400.0</v>
      </c>
      <c r="C283" s="16">
        <v>10.0</v>
      </c>
      <c r="D283" s="156">
        <v>2.8</v>
      </c>
      <c r="E283" s="18" t="s">
        <v>203</v>
      </c>
      <c r="F283" s="18">
        <v>12.0</v>
      </c>
      <c r="G283" s="10"/>
      <c r="H283" s="10"/>
      <c r="I283" s="10"/>
    </row>
    <row r="284">
      <c r="A284" s="21"/>
      <c r="B284" s="21"/>
      <c r="C284" s="21"/>
      <c r="D284" s="21"/>
      <c r="E284" s="18" t="s">
        <v>310</v>
      </c>
      <c r="F284" s="18">
        <v>11.0</v>
      </c>
      <c r="G284" s="10"/>
      <c r="H284" s="10"/>
      <c r="I284" s="10"/>
    </row>
    <row r="285">
      <c r="A285" s="21"/>
      <c r="B285" s="21"/>
      <c r="C285" s="21"/>
      <c r="D285" s="21"/>
      <c r="E285" s="18" t="s">
        <v>86</v>
      </c>
      <c r="F285" s="18">
        <v>12.0</v>
      </c>
      <c r="G285" s="10"/>
      <c r="H285" s="10"/>
      <c r="I285" s="10"/>
    </row>
    <row r="286">
      <c r="A286" s="21"/>
      <c r="B286" s="21"/>
      <c r="C286" s="21"/>
      <c r="D286" s="21"/>
      <c r="E286" s="18" t="s">
        <v>123</v>
      </c>
      <c r="F286" s="18">
        <v>11.0</v>
      </c>
      <c r="G286" s="10"/>
      <c r="H286" s="10"/>
      <c r="I286" s="10"/>
    </row>
    <row r="287">
      <c r="A287" s="21"/>
      <c r="B287" s="21"/>
      <c r="C287" s="21"/>
      <c r="D287" s="21"/>
      <c r="E287" s="18" t="s">
        <v>115</v>
      </c>
      <c r="F287" s="18">
        <v>12.0</v>
      </c>
      <c r="G287" s="10"/>
      <c r="H287" s="10"/>
      <c r="I287" s="10"/>
    </row>
    <row r="288">
      <c r="A288" s="21"/>
      <c r="B288" s="21"/>
      <c r="C288" s="21"/>
      <c r="D288" s="21"/>
      <c r="E288" s="18" t="s">
        <v>113</v>
      </c>
      <c r="F288" s="18">
        <v>12.0</v>
      </c>
      <c r="G288" s="10"/>
      <c r="H288" s="10"/>
      <c r="I288" s="10"/>
    </row>
    <row r="289">
      <c r="A289" s="21"/>
      <c r="B289" s="21"/>
      <c r="C289" s="21"/>
      <c r="D289" s="21"/>
      <c r="E289" s="18" t="s">
        <v>93</v>
      </c>
      <c r="F289" s="18">
        <v>11.0</v>
      </c>
      <c r="G289" s="10"/>
      <c r="H289" s="10"/>
      <c r="I289" s="10"/>
    </row>
    <row r="290">
      <c r="A290" s="22"/>
      <c r="B290" s="22"/>
      <c r="C290" s="22"/>
      <c r="D290" s="22"/>
      <c r="E290" s="18" t="s">
        <v>177</v>
      </c>
      <c r="F290" s="18">
        <v>12.0</v>
      </c>
      <c r="G290" s="10"/>
      <c r="H290" s="10"/>
      <c r="I290" s="10"/>
    </row>
    <row r="291">
      <c r="A291" s="16" t="s">
        <v>1742</v>
      </c>
      <c r="B291" s="16">
        <v>3500.0</v>
      </c>
      <c r="C291" s="16">
        <v>10.0</v>
      </c>
      <c r="D291" s="156">
        <v>2.8</v>
      </c>
      <c r="E291" s="18" t="s">
        <v>209</v>
      </c>
      <c r="F291" s="18">
        <v>12.0</v>
      </c>
      <c r="G291" s="10"/>
      <c r="H291" s="10"/>
      <c r="I291" s="10"/>
    </row>
    <row r="292">
      <c r="A292" s="21"/>
      <c r="B292" s="21"/>
      <c r="C292" s="21"/>
      <c r="D292" s="21"/>
      <c r="E292" s="18" t="s">
        <v>82</v>
      </c>
      <c r="F292" s="18">
        <v>12.0</v>
      </c>
      <c r="G292" s="10"/>
      <c r="H292" s="10"/>
      <c r="I292" s="10"/>
    </row>
    <row r="293">
      <c r="A293" s="21"/>
      <c r="B293" s="21"/>
      <c r="C293" s="21"/>
      <c r="D293" s="21"/>
      <c r="E293" s="18" t="s">
        <v>139</v>
      </c>
      <c r="F293" s="18">
        <v>12.0</v>
      </c>
      <c r="G293" s="10"/>
      <c r="H293" s="10"/>
      <c r="I293" s="10"/>
    </row>
    <row r="294">
      <c r="A294" s="21"/>
      <c r="B294" s="21"/>
      <c r="C294" s="21"/>
      <c r="D294" s="21"/>
      <c r="E294" s="18" t="s">
        <v>180</v>
      </c>
      <c r="F294" s="18">
        <v>11.0</v>
      </c>
      <c r="G294" s="10"/>
      <c r="H294" s="10"/>
      <c r="I294" s="10"/>
    </row>
    <row r="295">
      <c r="A295" s="21"/>
      <c r="B295" s="21"/>
      <c r="C295" s="21"/>
      <c r="D295" s="21"/>
      <c r="E295" s="18" t="s">
        <v>254</v>
      </c>
      <c r="F295" s="18">
        <v>12.0</v>
      </c>
      <c r="G295" s="10"/>
      <c r="H295" s="10"/>
      <c r="I295" s="10"/>
    </row>
    <row r="296">
      <c r="A296" s="21"/>
      <c r="B296" s="21"/>
      <c r="C296" s="21"/>
      <c r="D296" s="21"/>
      <c r="E296" s="18" t="s">
        <v>113</v>
      </c>
      <c r="F296" s="18">
        <v>11.0</v>
      </c>
      <c r="G296" s="10"/>
      <c r="H296" s="10"/>
      <c r="I296" s="10"/>
    </row>
    <row r="297">
      <c r="A297" s="21"/>
      <c r="B297" s="21"/>
      <c r="C297" s="21"/>
      <c r="D297" s="21"/>
      <c r="E297" s="18" t="s">
        <v>130</v>
      </c>
      <c r="F297" s="18">
        <v>11.0</v>
      </c>
      <c r="G297" s="10"/>
      <c r="H297" s="10"/>
      <c r="I297" s="10"/>
    </row>
    <row r="298">
      <c r="A298" s="22"/>
      <c r="B298" s="22"/>
      <c r="C298" s="22"/>
      <c r="D298" s="22"/>
      <c r="E298" s="18" t="s">
        <v>221</v>
      </c>
      <c r="F298" s="18">
        <v>11.0</v>
      </c>
      <c r="G298" s="10"/>
      <c r="H298" s="10"/>
      <c r="I298" s="10"/>
    </row>
    <row r="299">
      <c r="A299" s="16" t="s">
        <v>1743</v>
      </c>
      <c r="B299" s="16">
        <v>3600.0</v>
      </c>
      <c r="C299" s="16">
        <v>11.0</v>
      </c>
      <c r="D299" s="156">
        <v>2.8</v>
      </c>
      <c r="E299" s="18" t="s">
        <v>251</v>
      </c>
      <c r="F299" s="18">
        <v>12.0</v>
      </c>
      <c r="G299" s="10"/>
      <c r="H299" s="10"/>
      <c r="I299" s="10"/>
    </row>
    <row r="300">
      <c r="A300" s="21"/>
      <c r="B300" s="21"/>
      <c r="C300" s="21"/>
      <c r="D300" s="21"/>
      <c r="E300" s="18" t="s">
        <v>396</v>
      </c>
      <c r="F300" s="18">
        <v>11.0</v>
      </c>
      <c r="G300" s="10"/>
      <c r="H300" s="10"/>
      <c r="I300" s="10"/>
    </row>
    <row r="301">
      <c r="A301" s="21"/>
      <c r="B301" s="21"/>
      <c r="C301" s="21"/>
      <c r="D301" s="21"/>
      <c r="E301" s="18" t="s">
        <v>188</v>
      </c>
      <c r="F301" s="18">
        <v>12.0</v>
      </c>
      <c r="G301" s="10"/>
      <c r="H301" s="10"/>
      <c r="I301" s="10"/>
    </row>
    <row r="302">
      <c r="A302" s="21"/>
      <c r="B302" s="21"/>
      <c r="C302" s="21"/>
      <c r="D302" s="21"/>
      <c r="E302" s="18" t="s">
        <v>86</v>
      </c>
      <c r="F302" s="18">
        <v>12.0</v>
      </c>
      <c r="G302" s="10"/>
      <c r="H302" s="10"/>
      <c r="I302" s="10"/>
    </row>
    <row r="303">
      <c r="A303" s="21"/>
      <c r="B303" s="21"/>
      <c r="C303" s="21"/>
      <c r="D303" s="21"/>
      <c r="E303" s="18" t="s">
        <v>144</v>
      </c>
      <c r="F303" s="18">
        <v>12.0</v>
      </c>
      <c r="G303" s="10"/>
      <c r="H303" s="10"/>
      <c r="I303" s="10"/>
    </row>
    <row r="304">
      <c r="A304" s="21"/>
      <c r="B304" s="21"/>
      <c r="C304" s="21"/>
      <c r="D304" s="21"/>
      <c r="E304" s="18" t="s">
        <v>232</v>
      </c>
      <c r="F304" s="18">
        <v>12.0</v>
      </c>
      <c r="G304" s="10"/>
      <c r="H304" s="10"/>
      <c r="I304" s="10"/>
    </row>
    <row r="305">
      <c r="A305" s="21"/>
      <c r="B305" s="21"/>
      <c r="C305" s="21"/>
      <c r="D305" s="21"/>
      <c r="E305" s="18" t="s">
        <v>229</v>
      </c>
      <c r="F305" s="18">
        <v>11.0</v>
      </c>
      <c r="G305" s="10"/>
      <c r="H305" s="10"/>
      <c r="I305" s="10"/>
    </row>
    <row r="306">
      <c r="A306" s="22"/>
      <c r="B306" s="22"/>
      <c r="C306" s="22"/>
      <c r="D306" s="22"/>
      <c r="E306" s="18" t="s">
        <v>222</v>
      </c>
      <c r="F306" s="18">
        <v>11.0</v>
      </c>
      <c r="G306" s="10"/>
      <c r="H306" s="10"/>
      <c r="I306" s="10"/>
    </row>
    <row r="307">
      <c r="A307" s="16" t="s">
        <v>1744</v>
      </c>
      <c r="B307" s="16">
        <v>3700.0</v>
      </c>
      <c r="C307" s="16">
        <v>11.0</v>
      </c>
      <c r="D307" s="156">
        <v>2.8</v>
      </c>
      <c r="E307" s="18" t="s">
        <v>289</v>
      </c>
      <c r="F307" s="18">
        <v>11.0</v>
      </c>
      <c r="G307" s="10"/>
      <c r="H307" s="10"/>
      <c r="I307" s="10"/>
    </row>
    <row r="308">
      <c r="A308" s="21"/>
      <c r="B308" s="21"/>
      <c r="C308" s="21"/>
      <c r="D308" s="21"/>
      <c r="E308" s="18" t="s">
        <v>142</v>
      </c>
      <c r="F308" s="18">
        <v>12.0</v>
      </c>
      <c r="G308" s="10"/>
      <c r="H308" s="10"/>
      <c r="I308" s="10"/>
    </row>
    <row r="309">
      <c r="A309" s="21"/>
      <c r="B309" s="21"/>
      <c r="C309" s="21"/>
      <c r="D309" s="21"/>
      <c r="E309" s="18" t="s">
        <v>188</v>
      </c>
      <c r="F309" s="18">
        <v>12.0</v>
      </c>
      <c r="G309" s="10"/>
      <c r="H309" s="10"/>
      <c r="I309" s="10"/>
    </row>
    <row r="310">
      <c r="A310" s="21"/>
      <c r="B310" s="21"/>
      <c r="C310" s="21"/>
      <c r="D310" s="21"/>
      <c r="E310" s="18" t="s">
        <v>100</v>
      </c>
      <c r="F310" s="18">
        <v>12.0</v>
      </c>
      <c r="G310" s="10"/>
      <c r="H310" s="10"/>
      <c r="I310" s="10"/>
    </row>
    <row r="311">
      <c r="A311" s="21"/>
      <c r="B311" s="21"/>
      <c r="C311" s="21"/>
      <c r="D311" s="21"/>
      <c r="E311" s="18" t="s">
        <v>221</v>
      </c>
      <c r="F311" s="18">
        <v>12.0</v>
      </c>
      <c r="G311" s="10"/>
      <c r="H311" s="10"/>
      <c r="I311" s="10"/>
    </row>
    <row r="312">
      <c r="A312" s="21"/>
      <c r="B312" s="21"/>
      <c r="C312" s="21"/>
      <c r="D312" s="21"/>
      <c r="E312" s="18" t="s">
        <v>397</v>
      </c>
      <c r="F312" s="18">
        <v>12.0</v>
      </c>
      <c r="G312" s="10"/>
      <c r="H312" s="10"/>
      <c r="I312" s="10"/>
    </row>
    <row r="313">
      <c r="A313" s="21"/>
      <c r="B313" s="21"/>
      <c r="C313" s="21"/>
      <c r="D313" s="21"/>
      <c r="E313" s="18" t="s">
        <v>177</v>
      </c>
      <c r="F313" s="18">
        <v>13.0</v>
      </c>
      <c r="G313" s="10"/>
      <c r="H313" s="10"/>
      <c r="I313" s="10"/>
    </row>
    <row r="314">
      <c r="A314" s="22"/>
      <c r="B314" s="22"/>
      <c r="C314" s="22"/>
      <c r="D314" s="22"/>
      <c r="E314" s="18" t="s">
        <v>115</v>
      </c>
      <c r="F314" s="18">
        <v>12.0</v>
      </c>
      <c r="G314" s="10"/>
      <c r="H314" s="10"/>
      <c r="I314" s="10"/>
    </row>
    <row r="315">
      <c r="A315" s="16" t="s">
        <v>1745</v>
      </c>
      <c r="B315" s="16">
        <v>3800.0</v>
      </c>
      <c r="C315" s="16">
        <v>11.0</v>
      </c>
      <c r="D315" s="156">
        <v>2.8</v>
      </c>
      <c r="E315" s="18" t="s">
        <v>199</v>
      </c>
      <c r="F315" s="18">
        <v>13.0</v>
      </c>
      <c r="G315" s="10"/>
      <c r="H315" s="10"/>
      <c r="I315" s="10"/>
    </row>
    <row r="316">
      <c r="A316" s="21"/>
      <c r="B316" s="21"/>
      <c r="C316" s="21"/>
      <c r="D316" s="21"/>
      <c r="E316" s="18" t="s">
        <v>229</v>
      </c>
      <c r="F316" s="18">
        <v>12.0</v>
      </c>
      <c r="G316" s="10"/>
      <c r="H316" s="10"/>
      <c r="I316" s="10"/>
    </row>
    <row r="317">
      <c r="A317" s="21"/>
      <c r="B317" s="21"/>
      <c r="C317" s="21"/>
      <c r="D317" s="21"/>
      <c r="E317" s="18" t="s">
        <v>221</v>
      </c>
      <c r="F317" s="18">
        <v>12.0</v>
      </c>
      <c r="G317" s="10"/>
      <c r="H317" s="10"/>
      <c r="I317" s="10"/>
    </row>
    <row r="318">
      <c r="A318" s="21"/>
      <c r="B318" s="21"/>
      <c r="C318" s="21"/>
      <c r="D318" s="21"/>
      <c r="E318" s="18" t="s">
        <v>209</v>
      </c>
      <c r="F318" s="18">
        <v>12.0</v>
      </c>
      <c r="G318" s="10"/>
      <c r="H318" s="10"/>
      <c r="I318" s="10"/>
    </row>
    <row r="319">
      <c r="A319" s="21"/>
      <c r="B319" s="21"/>
      <c r="C319" s="21"/>
      <c r="D319" s="21"/>
      <c r="E319" s="18" t="s">
        <v>144</v>
      </c>
      <c r="F319" s="18">
        <v>12.0</v>
      </c>
      <c r="G319" s="10"/>
      <c r="H319" s="10"/>
      <c r="I319" s="10"/>
    </row>
    <row r="320">
      <c r="A320" s="21"/>
      <c r="B320" s="21"/>
      <c r="C320" s="21"/>
      <c r="D320" s="21"/>
      <c r="E320" s="18" t="s">
        <v>93</v>
      </c>
      <c r="F320" s="18">
        <v>12.0</v>
      </c>
      <c r="G320" s="10"/>
      <c r="H320" s="10"/>
      <c r="I320" s="10"/>
    </row>
    <row r="321">
      <c r="A321" s="21"/>
      <c r="B321" s="21"/>
      <c r="C321" s="21"/>
      <c r="D321" s="21"/>
      <c r="E321" s="18" t="s">
        <v>203</v>
      </c>
      <c r="F321" s="18">
        <v>13.0</v>
      </c>
      <c r="G321" s="10"/>
      <c r="H321" s="10"/>
      <c r="I321" s="10"/>
    </row>
    <row r="322">
      <c r="A322" s="22"/>
      <c r="B322" s="22"/>
      <c r="C322" s="22"/>
      <c r="D322" s="22"/>
      <c r="E322" s="18" t="s">
        <v>86</v>
      </c>
      <c r="F322" s="18">
        <v>12.0</v>
      </c>
      <c r="G322" s="10"/>
      <c r="H322" s="10"/>
      <c r="I322" s="10"/>
    </row>
    <row r="323">
      <c r="A323" s="16" t="s">
        <v>1746</v>
      </c>
      <c r="B323" s="16">
        <v>3900.0</v>
      </c>
      <c r="C323" s="16">
        <v>12.0</v>
      </c>
      <c r="D323" s="156">
        <v>2.8</v>
      </c>
      <c r="E323" s="18" t="s">
        <v>370</v>
      </c>
      <c r="F323" s="18">
        <v>12.0</v>
      </c>
      <c r="G323" s="10"/>
      <c r="H323" s="10"/>
      <c r="I323" s="10"/>
    </row>
    <row r="324">
      <c r="A324" s="21"/>
      <c r="B324" s="21"/>
      <c r="C324" s="21"/>
      <c r="D324" s="21"/>
      <c r="E324" s="18" t="s">
        <v>397</v>
      </c>
      <c r="F324" s="18">
        <v>13.0</v>
      </c>
      <c r="G324" s="10"/>
      <c r="H324" s="10"/>
      <c r="I324" s="10"/>
    </row>
    <row r="325">
      <c r="A325" s="21"/>
      <c r="B325" s="21"/>
      <c r="C325" s="21"/>
      <c r="D325" s="21"/>
      <c r="E325" s="18" t="s">
        <v>204</v>
      </c>
      <c r="F325" s="18">
        <v>12.0</v>
      </c>
      <c r="G325" s="10"/>
      <c r="H325" s="10"/>
      <c r="I325" s="10"/>
    </row>
    <row r="326">
      <c r="A326" s="21"/>
      <c r="B326" s="21"/>
      <c r="C326" s="21"/>
      <c r="D326" s="21"/>
      <c r="E326" s="18" t="s">
        <v>192</v>
      </c>
      <c r="F326" s="18">
        <v>12.0</v>
      </c>
      <c r="G326" s="10"/>
      <c r="H326" s="10"/>
      <c r="I326" s="10"/>
    </row>
    <row r="327">
      <c r="A327" s="21"/>
      <c r="B327" s="21"/>
      <c r="C327" s="21"/>
      <c r="D327" s="21"/>
      <c r="E327" s="18" t="s">
        <v>177</v>
      </c>
      <c r="F327" s="18">
        <v>12.0</v>
      </c>
      <c r="G327" s="10"/>
      <c r="H327" s="10"/>
      <c r="I327" s="10"/>
    </row>
    <row r="328">
      <c r="A328" s="21"/>
      <c r="B328" s="21"/>
      <c r="C328" s="21"/>
      <c r="D328" s="21"/>
      <c r="E328" s="18" t="s">
        <v>100</v>
      </c>
      <c r="F328" s="18">
        <v>13.0</v>
      </c>
      <c r="G328" s="10"/>
      <c r="H328" s="10"/>
      <c r="I328" s="10"/>
    </row>
    <row r="329">
      <c r="A329" s="21"/>
      <c r="B329" s="21"/>
      <c r="C329" s="21"/>
      <c r="D329" s="21"/>
      <c r="E329" s="18" t="s">
        <v>300</v>
      </c>
      <c r="F329" s="18">
        <v>11.0</v>
      </c>
      <c r="G329" s="10"/>
      <c r="H329" s="10"/>
      <c r="I329" s="10"/>
    </row>
    <row r="330">
      <c r="A330" s="22"/>
      <c r="B330" s="22"/>
      <c r="C330" s="22"/>
      <c r="D330" s="22"/>
      <c r="E330" s="18" t="s">
        <v>222</v>
      </c>
      <c r="F330" s="18">
        <v>13.0</v>
      </c>
      <c r="G330" s="10"/>
      <c r="H330" s="10"/>
      <c r="I330" s="10"/>
    </row>
    <row r="331">
      <c r="A331" s="16" t="s">
        <v>1747</v>
      </c>
      <c r="B331" s="16">
        <v>4000.0</v>
      </c>
      <c r="C331" s="16">
        <v>12.0</v>
      </c>
      <c r="D331" s="156">
        <v>2.8</v>
      </c>
      <c r="E331" s="18" t="s">
        <v>311</v>
      </c>
      <c r="F331" s="18">
        <v>12.0</v>
      </c>
      <c r="G331" s="10"/>
      <c r="H331" s="10"/>
      <c r="I331" s="10"/>
    </row>
    <row r="332">
      <c r="A332" s="21"/>
      <c r="B332" s="21"/>
      <c r="C332" s="21"/>
      <c r="D332" s="21"/>
      <c r="E332" s="18" t="s">
        <v>232</v>
      </c>
      <c r="F332" s="18">
        <v>13.0</v>
      </c>
      <c r="G332" s="10"/>
      <c r="H332" s="10"/>
      <c r="I332" s="10"/>
    </row>
    <row r="333">
      <c r="A333" s="21"/>
      <c r="B333" s="21"/>
      <c r="C333" s="21"/>
      <c r="D333" s="21"/>
      <c r="E333" s="18" t="s">
        <v>97</v>
      </c>
      <c r="F333" s="18">
        <v>13.0</v>
      </c>
      <c r="G333" s="10"/>
      <c r="H333" s="10"/>
      <c r="I333" s="10"/>
    </row>
    <row r="334">
      <c r="A334" s="21"/>
      <c r="B334" s="21"/>
      <c r="C334" s="21"/>
      <c r="D334" s="21"/>
      <c r="E334" s="18" t="s">
        <v>105</v>
      </c>
      <c r="F334" s="18">
        <v>13.0</v>
      </c>
      <c r="G334" s="10"/>
      <c r="H334" s="10"/>
      <c r="I334" s="10"/>
    </row>
    <row r="335">
      <c r="A335" s="21"/>
      <c r="B335" s="21"/>
      <c r="C335" s="21"/>
      <c r="D335" s="21"/>
      <c r="E335" s="18" t="s">
        <v>93</v>
      </c>
      <c r="F335" s="18">
        <v>12.0</v>
      </c>
      <c r="G335" s="10"/>
      <c r="H335" s="10"/>
      <c r="I335" s="10"/>
    </row>
    <row r="336">
      <c r="A336" s="21"/>
      <c r="B336" s="21"/>
      <c r="C336" s="21"/>
      <c r="D336" s="21"/>
      <c r="E336" s="18" t="s">
        <v>113</v>
      </c>
      <c r="F336" s="18">
        <v>12.0</v>
      </c>
      <c r="G336" s="10"/>
      <c r="H336" s="10"/>
      <c r="I336" s="10"/>
    </row>
    <row r="337">
      <c r="A337" s="21"/>
      <c r="B337" s="21"/>
      <c r="C337" s="21"/>
      <c r="D337" s="21"/>
      <c r="E337" s="18" t="s">
        <v>142</v>
      </c>
      <c r="F337" s="18">
        <v>13.0</v>
      </c>
      <c r="G337" s="10"/>
      <c r="H337" s="10"/>
      <c r="I337" s="10"/>
    </row>
    <row r="338">
      <c r="A338" s="22"/>
      <c r="B338" s="22"/>
      <c r="C338" s="22"/>
      <c r="D338" s="22"/>
      <c r="E338" s="18" t="s">
        <v>326</v>
      </c>
      <c r="F338" s="18">
        <v>13.0</v>
      </c>
      <c r="G338" s="10"/>
      <c r="H338" s="10"/>
      <c r="I338" s="10"/>
    </row>
    <row r="339">
      <c r="A339" s="16" t="s">
        <v>1748</v>
      </c>
      <c r="B339" s="16">
        <v>4100.0</v>
      </c>
      <c r="C339" s="16">
        <v>12.0</v>
      </c>
      <c r="D339" s="156">
        <v>2.8</v>
      </c>
      <c r="E339" s="18" t="s">
        <v>388</v>
      </c>
      <c r="F339" s="18">
        <v>11.0</v>
      </c>
      <c r="G339" s="10"/>
      <c r="H339" s="10"/>
      <c r="I339" s="10"/>
    </row>
    <row r="340">
      <c r="A340" s="21"/>
      <c r="B340" s="21"/>
      <c r="C340" s="21"/>
      <c r="D340" s="21"/>
      <c r="E340" s="18" t="s">
        <v>256</v>
      </c>
      <c r="F340" s="18">
        <v>11.0</v>
      </c>
      <c r="G340" s="10"/>
      <c r="H340" s="10"/>
      <c r="I340" s="10"/>
    </row>
    <row r="341">
      <c r="A341" s="21"/>
      <c r="B341" s="21"/>
      <c r="C341" s="21"/>
      <c r="D341" s="21"/>
      <c r="E341" s="18" t="s">
        <v>130</v>
      </c>
      <c r="F341" s="18">
        <v>12.0</v>
      </c>
      <c r="G341" s="10"/>
      <c r="H341" s="10"/>
      <c r="I341" s="10"/>
    </row>
    <row r="342">
      <c r="A342" s="21"/>
      <c r="B342" s="21"/>
      <c r="C342" s="21"/>
      <c r="D342" s="21"/>
      <c r="E342" s="18" t="s">
        <v>370</v>
      </c>
      <c r="F342" s="18">
        <v>11.0</v>
      </c>
      <c r="G342" s="10"/>
      <c r="H342" s="10"/>
      <c r="I342" s="10"/>
    </row>
    <row r="343">
      <c r="A343" s="21"/>
      <c r="B343" s="21"/>
      <c r="C343" s="21"/>
      <c r="D343" s="21"/>
      <c r="E343" s="18" t="s">
        <v>300</v>
      </c>
      <c r="F343" s="18">
        <v>11.0</v>
      </c>
      <c r="G343" s="10"/>
      <c r="H343" s="10"/>
      <c r="I343" s="10"/>
    </row>
    <row r="344">
      <c r="A344" s="21"/>
      <c r="B344" s="21"/>
      <c r="C344" s="21"/>
      <c r="D344" s="21"/>
      <c r="E344" s="18" t="s">
        <v>215</v>
      </c>
      <c r="F344" s="18">
        <v>11.0</v>
      </c>
      <c r="G344" s="10"/>
      <c r="H344" s="10"/>
      <c r="I344" s="10"/>
    </row>
    <row r="345">
      <c r="A345" s="21"/>
      <c r="B345" s="21"/>
      <c r="C345" s="21"/>
      <c r="D345" s="21"/>
      <c r="E345" s="18" t="s">
        <v>213</v>
      </c>
      <c r="F345" s="18">
        <v>11.0</v>
      </c>
      <c r="G345" s="10"/>
      <c r="H345" s="10"/>
      <c r="I345" s="10"/>
    </row>
    <row r="346">
      <c r="A346" s="22"/>
      <c r="B346" s="22"/>
      <c r="C346" s="22"/>
      <c r="D346" s="22"/>
      <c r="E346" s="18" t="s">
        <v>313</v>
      </c>
      <c r="F346" s="18">
        <v>11.0</v>
      </c>
      <c r="G346" s="10"/>
      <c r="H346" s="10"/>
      <c r="I346" s="10"/>
    </row>
    <row r="347">
      <c r="A347" s="16" t="s">
        <v>1749</v>
      </c>
      <c r="B347" s="16">
        <v>4200.0</v>
      </c>
      <c r="C347" s="16">
        <v>12.0</v>
      </c>
      <c r="D347" s="156">
        <v>2.8</v>
      </c>
      <c r="E347" s="18" t="s">
        <v>398</v>
      </c>
      <c r="F347" s="18">
        <v>11.0</v>
      </c>
      <c r="G347" s="10"/>
      <c r="H347" s="10"/>
      <c r="I347" s="10"/>
    </row>
    <row r="348">
      <c r="A348" s="21"/>
      <c r="B348" s="21"/>
      <c r="C348" s="21"/>
      <c r="D348" s="21"/>
      <c r="E348" s="18" t="s">
        <v>200</v>
      </c>
      <c r="F348" s="18">
        <v>12.0</v>
      </c>
      <c r="G348" s="10"/>
      <c r="H348" s="10"/>
      <c r="I348" s="10"/>
    </row>
    <row r="349">
      <c r="A349" s="21"/>
      <c r="B349" s="21"/>
      <c r="C349" s="21"/>
      <c r="D349" s="21"/>
      <c r="E349" s="18" t="s">
        <v>130</v>
      </c>
      <c r="F349" s="18">
        <v>12.0</v>
      </c>
      <c r="G349" s="10"/>
      <c r="H349" s="10"/>
      <c r="I349" s="10"/>
    </row>
    <row r="350">
      <c r="A350" s="21"/>
      <c r="B350" s="21"/>
      <c r="C350" s="21"/>
      <c r="D350" s="21"/>
      <c r="E350" s="18" t="s">
        <v>238</v>
      </c>
      <c r="F350" s="18">
        <v>11.0</v>
      </c>
      <c r="G350" s="10"/>
      <c r="H350" s="10"/>
      <c r="I350" s="10"/>
    </row>
    <row r="351">
      <c r="A351" s="21"/>
      <c r="B351" s="21"/>
      <c r="C351" s="21"/>
      <c r="D351" s="21"/>
      <c r="E351" s="18" t="s">
        <v>364</v>
      </c>
      <c r="F351" s="18">
        <v>12.0</v>
      </c>
      <c r="G351" s="10"/>
      <c r="H351" s="10"/>
      <c r="I351" s="10"/>
    </row>
    <row r="352">
      <c r="A352" s="21"/>
      <c r="B352" s="21"/>
      <c r="C352" s="21"/>
      <c r="D352" s="21"/>
      <c r="E352" s="18" t="s">
        <v>100</v>
      </c>
      <c r="F352" s="18">
        <v>12.0</v>
      </c>
      <c r="G352" s="10"/>
      <c r="H352" s="10"/>
      <c r="I352" s="10"/>
    </row>
    <row r="353">
      <c r="A353" s="21"/>
      <c r="B353" s="21"/>
      <c r="C353" s="21"/>
      <c r="D353" s="21"/>
      <c r="E353" s="18" t="s">
        <v>126</v>
      </c>
      <c r="F353" s="18">
        <v>12.0</v>
      </c>
      <c r="G353" s="10"/>
      <c r="H353" s="10"/>
      <c r="I353" s="10"/>
    </row>
    <row r="354">
      <c r="A354" s="22"/>
      <c r="B354" s="22"/>
      <c r="C354" s="22"/>
      <c r="D354" s="22"/>
      <c r="E354" s="18" t="s">
        <v>316</v>
      </c>
      <c r="F354" s="18">
        <v>12.0</v>
      </c>
      <c r="G354" s="10"/>
      <c r="H354" s="10"/>
      <c r="I354" s="10"/>
    </row>
    <row r="355">
      <c r="A355" s="16" t="s">
        <v>1750</v>
      </c>
      <c r="B355" s="16">
        <v>4300.0</v>
      </c>
      <c r="C355" s="16">
        <v>12.0</v>
      </c>
      <c r="D355" s="156">
        <v>2.8</v>
      </c>
      <c r="E355" s="18" t="s">
        <v>316</v>
      </c>
      <c r="F355" s="18">
        <v>13.0</v>
      </c>
      <c r="G355" s="10"/>
      <c r="H355" s="10"/>
      <c r="I355" s="10"/>
    </row>
    <row r="356">
      <c r="A356" s="21"/>
      <c r="B356" s="21"/>
      <c r="C356" s="21"/>
      <c r="D356" s="21"/>
      <c r="E356" s="18" t="s">
        <v>328</v>
      </c>
      <c r="F356" s="18">
        <v>11.0</v>
      </c>
      <c r="G356" s="10"/>
      <c r="H356" s="10"/>
      <c r="I356" s="10"/>
    </row>
    <row r="357">
      <c r="A357" s="21"/>
      <c r="B357" s="21"/>
      <c r="C357" s="21"/>
      <c r="D357" s="21"/>
      <c r="E357" s="18" t="s">
        <v>327</v>
      </c>
      <c r="F357" s="18">
        <v>11.0</v>
      </c>
      <c r="G357" s="10"/>
      <c r="H357" s="10"/>
      <c r="I357" s="10"/>
    </row>
    <row r="358">
      <c r="A358" s="21"/>
      <c r="B358" s="21"/>
      <c r="C358" s="21"/>
      <c r="D358" s="21"/>
      <c r="E358" s="18" t="s">
        <v>232</v>
      </c>
      <c r="F358" s="18">
        <v>12.0</v>
      </c>
      <c r="G358" s="10"/>
      <c r="H358" s="10"/>
      <c r="I358" s="10"/>
    </row>
    <row r="359">
      <c r="A359" s="21"/>
      <c r="B359" s="21"/>
      <c r="C359" s="21"/>
      <c r="D359" s="21"/>
      <c r="E359" s="18" t="s">
        <v>326</v>
      </c>
      <c r="F359" s="18">
        <v>12.0</v>
      </c>
      <c r="G359" s="10"/>
      <c r="H359" s="10"/>
      <c r="I359" s="10"/>
    </row>
    <row r="360">
      <c r="A360" s="21"/>
      <c r="B360" s="21"/>
      <c r="C360" s="21"/>
      <c r="D360" s="21"/>
      <c r="E360" s="18" t="s">
        <v>82</v>
      </c>
      <c r="F360" s="18">
        <v>12.0</v>
      </c>
      <c r="G360" s="10"/>
      <c r="H360" s="10"/>
      <c r="I360" s="10"/>
    </row>
    <row r="361">
      <c r="A361" s="21"/>
      <c r="B361" s="21"/>
      <c r="C361" s="21"/>
      <c r="D361" s="21"/>
      <c r="E361" s="18" t="s">
        <v>177</v>
      </c>
      <c r="F361" s="18">
        <v>13.0</v>
      </c>
      <c r="G361" s="10"/>
      <c r="H361" s="10"/>
      <c r="I361" s="10"/>
    </row>
    <row r="362">
      <c r="A362" s="22"/>
      <c r="B362" s="22"/>
      <c r="C362" s="22"/>
      <c r="D362" s="22"/>
      <c r="E362" s="18" t="s">
        <v>125</v>
      </c>
      <c r="F362" s="18">
        <v>12.0</v>
      </c>
      <c r="G362" s="10"/>
      <c r="H362" s="10"/>
      <c r="I362" s="10"/>
    </row>
    <row r="363">
      <c r="A363" s="16" t="s">
        <v>1751</v>
      </c>
      <c r="B363" s="16">
        <v>4400.0</v>
      </c>
      <c r="C363" s="16">
        <v>12.0</v>
      </c>
      <c r="D363" s="156">
        <v>2.8</v>
      </c>
      <c r="E363" s="18" t="s">
        <v>397</v>
      </c>
      <c r="F363" s="18">
        <v>12.0</v>
      </c>
      <c r="G363" s="10"/>
      <c r="H363" s="10"/>
      <c r="I363" s="10"/>
    </row>
    <row r="364">
      <c r="A364" s="21"/>
      <c r="B364" s="21"/>
      <c r="C364" s="21"/>
      <c r="D364" s="21"/>
      <c r="E364" s="18" t="s">
        <v>215</v>
      </c>
      <c r="F364" s="18">
        <v>11.0</v>
      </c>
      <c r="G364" s="10"/>
      <c r="H364" s="10"/>
      <c r="I364" s="10"/>
    </row>
    <row r="365">
      <c r="A365" s="21"/>
      <c r="B365" s="21"/>
      <c r="C365" s="21"/>
      <c r="D365" s="21"/>
      <c r="E365" s="18" t="s">
        <v>313</v>
      </c>
      <c r="F365" s="18">
        <v>11.0</v>
      </c>
      <c r="G365" s="10"/>
      <c r="H365" s="10"/>
      <c r="I365" s="10"/>
    </row>
    <row r="366">
      <c r="A366" s="21"/>
      <c r="B366" s="21"/>
      <c r="C366" s="21"/>
      <c r="D366" s="21"/>
      <c r="E366" s="18" t="s">
        <v>144</v>
      </c>
      <c r="F366" s="18">
        <v>12.0</v>
      </c>
      <c r="G366" s="10"/>
      <c r="H366" s="10"/>
      <c r="I366" s="10"/>
    </row>
    <row r="367">
      <c r="A367" s="21"/>
      <c r="B367" s="21"/>
      <c r="C367" s="21"/>
      <c r="D367" s="21"/>
      <c r="E367" s="18" t="s">
        <v>300</v>
      </c>
      <c r="F367" s="18">
        <v>11.0</v>
      </c>
      <c r="G367" s="10"/>
      <c r="H367" s="10"/>
      <c r="I367" s="10"/>
    </row>
    <row r="368">
      <c r="A368" s="21"/>
      <c r="B368" s="21"/>
      <c r="C368" s="21"/>
      <c r="D368" s="21"/>
      <c r="E368" s="18" t="s">
        <v>370</v>
      </c>
      <c r="F368" s="18">
        <v>12.0</v>
      </c>
      <c r="G368" s="10"/>
      <c r="H368" s="10"/>
      <c r="I368" s="10"/>
    </row>
    <row r="369">
      <c r="A369" s="21"/>
      <c r="B369" s="21"/>
      <c r="C369" s="21"/>
      <c r="D369" s="21"/>
      <c r="E369" s="18" t="s">
        <v>145</v>
      </c>
      <c r="F369" s="18">
        <v>12.0</v>
      </c>
      <c r="G369" s="10"/>
      <c r="H369" s="10"/>
      <c r="I369" s="10"/>
    </row>
    <row r="370">
      <c r="A370" s="22"/>
      <c r="B370" s="22"/>
      <c r="C370" s="22"/>
      <c r="D370" s="22"/>
      <c r="E370" s="18" t="s">
        <v>285</v>
      </c>
      <c r="F370" s="18">
        <v>12.0</v>
      </c>
      <c r="G370" s="10"/>
      <c r="H370" s="10"/>
      <c r="I370" s="10"/>
    </row>
    <row r="371">
      <c r="A371" s="16" t="s">
        <v>1752</v>
      </c>
      <c r="B371" s="16">
        <v>4500.0</v>
      </c>
      <c r="C371" s="16">
        <v>12.0</v>
      </c>
      <c r="D371" s="156">
        <v>2.8</v>
      </c>
      <c r="E371" s="18" t="s">
        <v>234</v>
      </c>
      <c r="F371" s="18">
        <v>12.0</v>
      </c>
      <c r="G371" s="10"/>
      <c r="H371" s="10"/>
      <c r="I371" s="10"/>
    </row>
    <row r="372">
      <c r="A372" s="21"/>
      <c r="B372" s="21"/>
      <c r="C372" s="21"/>
      <c r="D372" s="21"/>
      <c r="E372" s="18" t="s">
        <v>186</v>
      </c>
      <c r="F372" s="18">
        <v>12.0</v>
      </c>
      <c r="G372" s="10"/>
      <c r="H372" s="10"/>
      <c r="I372" s="10"/>
    </row>
    <row r="373">
      <c r="A373" s="21"/>
      <c r="B373" s="21"/>
      <c r="C373" s="21"/>
      <c r="D373" s="21"/>
      <c r="E373" s="18" t="s">
        <v>203</v>
      </c>
      <c r="F373" s="18">
        <v>12.0</v>
      </c>
      <c r="G373" s="10"/>
      <c r="H373" s="10"/>
      <c r="I373" s="10"/>
    </row>
    <row r="374">
      <c r="A374" s="21"/>
      <c r="B374" s="21"/>
      <c r="C374" s="21"/>
      <c r="D374" s="21"/>
      <c r="E374" s="18" t="s">
        <v>364</v>
      </c>
      <c r="F374" s="18">
        <v>12.0</v>
      </c>
      <c r="G374" s="10"/>
      <c r="H374" s="10"/>
      <c r="I374" s="10"/>
    </row>
    <row r="375">
      <c r="A375" s="21"/>
      <c r="B375" s="21"/>
      <c r="C375" s="21"/>
      <c r="D375" s="21"/>
      <c r="E375" s="18" t="s">
        <v>370</v>
      </c>
      <c r="F375" s="18">
        <v>12.0</v>
      </c>
      <c r="G375" s="10"/>
      <c r="H375" s="10"/>
      <c r="I375" s="10"/>
    </row>
    <row r="376">
      <c r="A376" s="21"/>
      <c r="B376" s="21"/>
      <c r="C376" s="21"/>
      <c r="D376" s="21"/>
      <c r="E376" s="18" t="s">
        <v>113</v>
      </c>
      <c r="F376" s="18">
        <v>12.0</v>
      </c>
      <c r="G376" s="10"/>
      <c r="H376" s="10"/>
      <c r="I376" s="10"/>
    </row>
    <row r="377">
      <c r="A377" s="21"/>
      <c r="B377" s="21"/>
      <c r="C377" s="21"/>
      <c r="D377" s="21"/>
      <c r="E377" s="18" t="s">
        <v>190</v>
      </c>
      <c r="F377" s="18">
        <v>12.0</v>
      </c>
      <c r="G377" s="10"/>
      <c r="H377" s="10"/>
      <c r="I377" s="10"/>
    </row>
    <row r="378">
      <c r="A378" s="22"/>
      <c r="B378" s="22"/>
      <c r="C378" s="22"/>
      <c r="D378" s="22"/>
      <c r="E378" s="18" t="s">
        <v>130</v>
      </c>
      <c r="F378" s="18">
        <v>12.0</v>
      </c>
      <c r="G378" s="10"/>
      <c r="H378" s="10"/>
      <c r="I378" s="10"/>
    </row>
    <row r="379">
      <c r="A379" s="16" t="s">
        <v>1753</v>
      </c>
      <c r="B379" s="16">
        <v>6000.0</v>
      </c>
      <c r="C379" s="16">
        <v>13.0</v>
      </c>
      <c r="D379" s="156">
        <v>0.7</v>
      </c>
      <c r="E379" s="18" t="s">
        <v>192</v>
      </c>
      <c r="F379" s="18">
        <v>13.0</v>
      </c>
      <c r="G379" s="10"/>
      <c r="H379" s="10"/>
      <c r="I379" s="10"/>
    </row>
    <row r="380">
      <c r="A380" s="21"/>
      <c r="B380" s="21"/>
      <c r="C380" s="21"/>
      <c r="D380" s="21"/>
      <c r="E380" s="18" t="s">
        <v>180</v>
      </c>
      <c r="F380" s="18">
        <v>13.0</v>
      </c>
      <c r="G380" s="10"/>
      <c r="H380" s="10"/>
      <c r="I380" s="10"/>
    </row>
    <row r="381">
      <c r="A381" s="21"/>
      <c r="B381" s="21"/>
      <c r="C381" s="21"/>
      <c r="D381" s="21"/>
      <c r="E381" s="18" t="s">
        <v>226</v>
      </c>
      <c r="F381" s="18">
        <v>13.0</v>
      </c>
      <c r="G381" s="10"/>
      <c r="H381" s="10"/>
      <c r="I381" s="10"/>
    </row>
    <row r="382">
      <c r="A382" s="21"/>
      <c r="B382" s="21"/>
      <c r="C382" s="21"/>
      <c r="D382" s="21"/>
      <c r="E382" s="18" t="s">
        <v>238</v>
      </c>
      <c r="F382" s="18">
        <v>13.0</v>
      </c>
      <c r="G382" s="10"/>
      <c r="H382" s="10"/>
      <c r="I382" s="10"/>
    </row>
    <row r="383">
      <c r="A383" s="21"/>
      <c r="B383" s="21"/>
      <c r="C383" s="21"/>
      <c r="D383" s="21"/>
      <c r="E383" s="18" t="s">
        <v>389</v>
      </c>
      <c r="F383" s="18">
        <v>13.0</v>
      </c>
      <c r="G383" s="10"/>
      <c r="H383" s="10"/>
      <c r="I383" s="10"/>
    </row>
    <row r="384">
      <c r="A384" s="21"/>
      <c r="B384" s="21"/>
      <c r="C384" s="21"/>
      <c r="D384" s="21"/>
      <c r="E384" s="18" t="s">
        <v>278</v>
      </c>
      <c r="F384" s="18">
        <v>13.0</v>
      </c>
      <c r="G384" s="10"/>
      <c r="H384" s="10"/>
      <c r="I384" s="10"/>
    </row>
    <row r="385">
      <c r="A385" s="21"/>
      <c r="B385" s="21"/>
      <c r="C385" s="21"/>
      <c r="D385" s="21"/>
      <c r="E385" s="18" t="s">
        <v>300</v>
      </c>
      <c r="F385" s="18">
        <v>13.0</v>
      </c>
      <c r="G385" s="10"/>
      <c r="H385" s="10"/>
      <c r="I385" s="10"/>
    </row>
    <row r="386">
      <c r="A386" s="22"/>
      <c r="B386" s="22"/>
      <c r="C386" s="22"/>
      <c r="D386" s="22"/>
      <c r="E386" s="18" t="s">
        <v>204</v>
      </c>
      <c r="F386" s="18">
        <v>13.0</v>
      </c>
      <c r="G386" s="10"/>
      <c r="H386" s="10"/>
      <c r="I386" s="10"/>
    </row>
    <row r="387">
      <c r="A387" s="16" t="s">
        <v>1754</v>
      </c>
      <c r="B387" s="16">
        <v>6400.0</v>
      </c>
      <c r="C387" s="16">
        <v>13.0</v>
      </c>
      <c r="D387" s="156">
        <v>0.6</v>
      </c>
      <c r="E387" s="18" t="s">
        <v>327</v>
      </c>
      <c r="F387" s="18">
        <v>13.0</v>
      </c>
      <c r="G387" s="10"/>
      <c r="H387" s="10"/>
      <c r="I387" s="10"/>
    </row>
    <row r="388">
      <c r="A388" s="21"/>
      <c r="B388" s="21"/>
      <c r="C388" s="21"/>
      <c r="D388" s="21"/>
      <c r="E388" s="18" t="s">
        <v>388</v>
      </c>
      <c r="F388" s="18">
        <v>13.0</v>
      </c>
      <c r="G388" s="10"/>
      <c r="H388" s="10"/>
      <c r="I388" s="10"/>
    </row>
    <row r="389">
      <c r="A389" s="21"/>
      <c r="B389" s="21"/>
      <c r="C389" s="21"/>
      <c r="D389" s="21"/>
      <c r="E389" s="18" t="s">
        <v>328</v>
      </c>
      <c r="F389" s="18">
        <v>13.0</v>
      </c>
      <c r="G389" s="10"/>
      <c r="H389" s="10"/>
      <c r="I389" s="10"/>
    </row>
    <row r="390">
      <c r="A390" s="21"/>
      <c r="B390" s="21"/>
      <c r="C390" s="21"/>
      <c r="D390" s="21"/>
      <c r="E390" s="18" t="s">
        <v>215</v>
      </c>
      <c r="F390" s="18">
        <v>13.0</v>
      </c>
      <c r="G390" s="10"/>
      <c r="H390" s="10"/>
      <c r="I390" s="10"/>
    </row>
    <row r="391">
      <c r="A391" s="21"/>
      <c r="B391" s="21"/>
      <c r="C391" s="21"/>
      <c r="D391" s="21"/>
      <c r="E391" s="18" t="s">
        <v>313</v>
      </c>
      <c r="F391" s="18">
        <v>13.0</v>
      </c>
      <c r="G391" s="10"/>
      <c r="H391" s="10"/>
      <c r="I391" s="10"/>
    </row>
    <row r="392">
      <c r="A392" s="21"/>
      <c r="B392" s="21"/>
      <c r="C392" s="21"/>
      <c r="D392" s="21"/>
      <c r="E392" s="18" t="s">
        <v>289</v>
      </c>
      <c r="F392" s="18">
        <v>13.0</v>
      </c>
      <c r="G392" s="10"/>
      <c r="H392" s="10"/>
      <c r="I392" s="10"/>
    </row>
    <row r="393">
      <c r="A393" s="21"/>
      <c r="B393" s="21"/>
      <c r="C393" s="21"/>
      <c r="D393" s="21"/>
      <c r="E393" s="18" t="s">
        <v>311</v>
      </c>
      <c r="F393" s="18">
        <v>13.0</v>
      </c>
      <c r="G393" s="10"/>
      <c r="H393" s="10"/>
      <c r="I393" s="10"/>
    </row>
    <row r="394">
      <c r="A394" s="22"/>
      <c r="B394" s="22"/>
      <c r="C394" s="22"/>
      <c r="D394" s="22"/>
      <c r="E394" s="18" t="s">
        <v>204</v>
      </c>
      <c r="F394" s="18">
        <v>13.0</v>
      </c>
      <c r="G394" s="10"/>
      <c r="H394" s="10"/>
      <c r="I394" s="10"/>
    </row>
    <row r="395">
      <c r="A395" s="98" t="s">
        <v>1755</v>
      </c>
    </row>
    <row r="396">
      <c r="A396" s="98" t="s">
        <v>1756</v>
      </c>
    </row>
    <row r="397">
      <c r="A397" s="10"/>
    </row>
  </sheetData>
  <mergeCells count="210">
    <mergeCell ref="A251:A258"/>
    <mergeCell ref="B251:B258"/>
    <mergeCell ref="C251:C258"/>
    <mergeCell ref="D251:D258"/>
    <mergeCell ref="B259:B266"/>
    <mergeCell ref="C259:C266"/>
    <mergeCell ref="D259:D266"/>
    <mergeCell ref="A259:A266"/>
    <mergeCell ref="A267:A274"/>
    <mergeCell ref="B267:B274"/>
    <mergeCell ref="C267:C274"/>
    <mergeCell ref="D267:D274"/>
    <mergeCell ref="A275:A282"/>
    <mergeCell ref="B275:B282"/>
    <mergeCell ref="B291:B298"/>
    <mergeCell ref="C291:C298"/>
    <mergeCell ref="C275:C282"/>
    <mergeCell ref="D275:D282"/>
    <mergeCell ref="A283:A290"/>
    <mergeCell ref="B283:B290"/>
    <mergeCell ref="C283:C290"/>
    <mergeCell ref="D283:D290"/>
    <mergeCell ref="D291:D298"/>
    <mergeCell ref="C307:C314"/>
    <mergeCell ref="D307:D314"/>
    <mergeCell ref="A291:A298"/>
    <mergeCell ref="A299:A306"/>
    <mergeCell ref="B299:B306"/>
    <mergeCell ref="C299:C306"/>
    <mergeCell ref="D299:D306"/>
    <mergeCell ref="A307:A314"/>
    <mergeCell ref="B307:B314"/>
    <mergeCell ref="A315:A322"/>
    <mergeCell ref="B315:B322"/>
    <mergeCell ref="C315:C322"/>
    <mergeCell ref="D315:D322"/>
    <mergeCell ref="B323:B330"/>
    <mergeCell ref="C323:C330"/>
    <mergeCell ref="D323:D330"/>
    <mergeCell ref="A323:A330"/>
    <mergeCell ref="A331:A338"/>
    <mergeCell ref="B331:B338"/>
    <mergeCell ref="C331:C338"/>
    <mergeCell ref="D331:D338"/>
    <mergeCell ref="A339:A346"/>
    <mergeCell ref="B339:B346"/>
    <mergeCell ref="B355:B362"/>
    <mergeCell ref="C355:C362"/>
    <mergeCell ref="C339:C346"/>
    <mergeCell ref="D339:D346"/>
    <mergeCell ref="A347:A354"/>
    <mergeCell ref="B347:B354"/>
    <mergeCell ref="C347:C354"/>
    <mergeCell ref="D347:D354"/>
    <mergeCell ref="D355:D362"/>
    <mergeCell ref="C371:C378"/>
    <mergeCell ref="D371:D378"/>
    <mergeCell ref="A395:F395"/>
    <mergeCell ref="A396:F396"/>
    <mergeCell ref="A355:A362"/>
    <mergeCell ref="A363:A370"/>
    <mergeCell ref="B363:B370"/>
    <mergeCell ref="C363:C370"/>
    <mergeCell ref="D363:D370"/>
    <mergeCell ref="A371:A378"/>
    <mergeCell ref="B371:B378"/>
    <mergeCell ref="A90:A97"/>
    <mergeCell ref="B90:B97"/>
    <mergeCell ref="C90:C97"/>
    <mergeCell ref="D90:D97"/>
    <mergeCell ref="B98:B105"/>
    <mergeCell ref="C98:C105"/>
    <mergeCell ref="D98:D105"/>
    <mergeCell ref="A98:A105"/>
    <mergeCell ref="A106:A113"/>
    <mergeCell ref="B106:B113"/>
    <mergeCell ref="C106:C113"/>
    <mergeCell ref="D106:D113"/>
    <mergeCell ref="A114:A121"/>
    <mergeCell ref="B114:B121"/>
    <mergeCell ref="A122:A129"/>
    <mergeCell ref="B122:B129"/>
    <mergeCell ref="C122:C129"/>
    <mergeCell ref="D122:D129"/>
    <mergeCell ref="B130:B137"/>
    <mergeCell ref="C130:C137"/>
    <mergeCell ref="D130:D137"/>
    <mergeCell ref="C147:C154"/>
    <mergeCell ref="D147:D154"/>
    <mergeCell ref="A130:A137"/>
    <mergeCell ref="A138:A146"/>
    <mergeCell ref="B138:B146"/>
    <mergeCell ref="C138:C146"/>
    <mergeCell ref="D138:D146"/>
    <mergeCell ref="A147:A154"/>
    <mergeCell ref="B147:B154"/>
    <mergeCell ref="C179:C186"/>
    <mergeCell ref="D179:D186"/>
    <mergeCell ref="A379:A386"/>
    <mergeCell ref="B379:B386"/>
    <mergeCell ref="C379:C386"/>
    <mergeCell ref="D379:D386"/>
    <mergeCell ref="A387:A394"/>
    <mergeCell ref="B387:B394"/>
    <mergeCell ref="C387:C394"/>
    <mergeCell ref="D387:D394"/>
    <mergeCell ref="A34:A41"/>
    <mergeCell ref="A42:A49"/>
    <mergeCell ref="B42:B49"/>
    <mergeCell ref="C42:C49"/>
    <mergeCell ref="D42:D49"/>
    <mergeCell ref="A50:A57"/>
    <mergeCell ref="B50:B57"/>
    <mergeCell ref="A58:A65"/>
    <mergeCell ref="B58:B65"/>
    <mergeCell ref="C58:C65"/>
    <mergeCell ref="D58:D65"/>
    <mergeCell ref="B66:B73"/>
    <mergeCell ref="C66:C73"/>
    <mergeCell ref="D66:D73"/>
    <mergeCell ref="C82:C89"/>
    <mergeCell ref="D82:D89"/>
    <mergeCell ref="A66:A73"/>
    <mergeCell ref="A74:A81"/>
    <mergeCell ref="B74:B81"/>
    <mergeCell ref="C74:C81"/>
    <mergeCell ref="D74:D81"/>
    <mergeCell ref="A82:A89"/>
    <mergeCell ref="B82:B89"/>
    <mergeCell ref="G5:G6"/>
    <mergeCell ref="G7:G9"/>
    <mergeCell ref="G10:G14"/>
    <mergeCell ref="H10:H14"/>
    <mergeCell ref="G15:G22"/>
    <mergeCell ref="H15:H22"/>
    <mergeCell ref="A5:A6"/>
    <mergeCell ref="B5:B6"/>
    <mergeCell ref="C5:C6"/>
    <mergeCell ref="D5:D6"/>
    <mergeCell ref="H5:H6"/>
    <mergeCell ref="A7:A9"/>
    <mergeCell ref="D7:D9"/>
    <mergeCell ref="H7:H9"/>
    <mergeCell ref="B7:B9"/>
    <mergeCell ref="C7:C9"/>
    <mergeCell ref="A10:A14"/>
    <mergeCell ref="B10:B14"/>
    <mergeCell ref="C10:C14"/>
    <mergeCell ref="D10:D14"/>
    <mergeCell ref="A15:A22"/>
    <mergeCell ref="D15:D22"/>
    <mergeCell ref="B34:B41"/>
    <mergeCell ref="C34:C41"/>
    <mergeCell ref="B15:B22"/>
    <mergeCell ref="C15:C22"/>
    <mergeCell ref="A26:A33"/>
    <mergeCell ref="B26:B33"/>
    <mergeCell ref="C26:C33"/>
    <mergeCell ref="D26:D33"/>
    <mergeCell ref="D34:D41"/>
    <mergeCell ref="C50:C57"/>
    <mergeCell ref="D50:D57"/>
    <mergeCell ref="C114:C121"/>
    <mergeCell ref="D114:D121"/>
    <mergeCell ref="A155:A162"/>
    <mergeCell ref="B155:B162"/>
    <mergeCell ref="C155:C162"/>
    <mergeCell ref="D155:D162"/>
    <mergeCell ref="B163:B170"/>
    <mergeCell ref="C163:C170"/>
    <mergeCell ref="D163:D170"/>
    <mergeCell ref="A163:A170"/>
    <mergeCell ref="A171:A178"/>
    <mergeCell ref="B171:B178"/>
    <mergeCell ref="C171:C178"/>
    <mergeCell ref="D171:D178"/>
    <mergeCell ref="A179:A186"/>
    <mergeCell ref="B179:B186"/>
    <mergeCell ref="A187:A194"/>
    <mergeCell ref="B187:B194"/>
    <mergeCell ref="C187:C194"/>
    <mergeCell ref="D187:D194"/>
    <mergeCell ref="B195:B202"/>
    <mergeCell ref="C195:C202"/>
    <mergeCell ref="D195:D202"/>
    <mergeCell ref="A195:A202"/>
    <mergeCell ref="A203:A210"/>
    <mergeCell ref="B203:B210"/>
    <mergeCell ref="C203:C210"/>
    <mergeCell ref="D203:D210"/>
    <mergeCell ref="A211:A218"/>
    <mergeCell ref="B211:B218"/>
    <mergeCell ref="B227:B234"/>
    <mergeCell ref="C227:C234"/>
    <mergeCell ref="C211:C218"/>
    <mergeCell ref="D211:D218"/>
    <mergeCell ref="A219:A226"/>
    <mergeCell ref="B219:B226"/>
    <mergeCell ref="C219:C226"/>
    <mergeCell ref="D219:D226"/>
    <mergeCell ref="D227:D234"/>
    <mergeCell ref="C243:C250"/>
    <mergeCell ref="D243:D250"/>
    <mergeCell ref="A227:A234"/>
    <mergeCell ref="A235:A242"/>
    <mergeCell ref="B235:B242"/>
    <mergeCell ref="C235:C242"/>
    <mergeCell ref="D235:D242"/>
    <mergeCell ref="A243:A250"/>
    <mergeCell ref="B243:B25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9" width="24.0"/>
  </cols>
  <sheetData>
    <row r="1">
      <c r="A1" s="7" t="s">
        <v>1757</v>
      </c>
    </row>
    <row r="2">
      <c r="A2" s="127" t="s">
        <v>1758</v>
      </c>
      <c r="H2" s="7"/>
    </row>
    <row r="3">
      <c r="A3" s="165" t="s">
        <v>1759</v>
      </c>
      <c r="H3" s="7"/>
    </row>
    <row r="4">
      <c r="A4" s="100" t="s">
        <v>1760</v>
      </c>
      <c r="B4" s="100" t="s">
        <v>1761</v>
      </c>
      <c r="C4" s="100" t="s">
        <v>1762</v>
      </c>
      <c r="D4" s="100" t="s">
        <v>1763</v>
      </c>
      <c r="H4" s="7"/>
    </row>
    <row r="5">
      <c r="A5" s="101" t="s">
        <v>274</v>
      </c>
      <c r="B5" s="101" t="s">
        <v>236</v>
      </c>
      <c r="C5" s="101" t="s">
        <v>210</v>
      </c>
      <c r="D5" s="101" t="s">
        <v>278</v>
      </c>
      <c r="H5" s="7"/>
    </row>
    <row r="6">
      <c r="A6" s="101" t="s">
        <v>389</v>
      </c>
      <c r="B6" s="101" t="s">
        <v>116</v>
      </c>
      <c r="C6" s="101" t="s">
        <v>328</v>
      </c>
      <c r="D6" s="101" t="s">
        <v>203</v>
      </c>
      <c r="H6" s="7"/>
    </row>
    <row r="7">
      <c r="A7" s="101" t="s">
        <v>388</v>
      </c>
      <c r="B7" s="101" t="s">
        <v>213</v>
      </c>
      <c r="C7" s="101" t="s">
        <v>200</v>
      </c>
      <c r="D7" s="101" t="s">
        <v>142</v>
      </c>
      <c r="H7" s="7"/>
    </row>
    <row r="8">
      <c r="A8" s="101" t="s">
        <v>130</v>
      </c>
      <c r="B8" s="101" t="s">
        <v>289</v>
      </c>
      <c r="C8" s="101" t="s">
        <v>186</v>
      </c>
      <c r="D8" s="101" t="s">
        <v>86</v>
      </c>
      <c r="H8" s="7"/>
    </row>
    <row r="9">
      <c r="A9" s="101" t="s">
        <v>142</v>
      </c>
      <c r="B9" s="101" t="s">
        <v>300</v>
      </c>
      <c r="C9" s="101" t="s">
        <v>139</v>
      </c>
      <c r="D9" s="101" t="s">
        <v>139</v>
      </c>
      <c r="H9" s="7"/>
    </row>
    <row r="10">
      <c r="A10" s="101" t="s">
        <v>184</v>
      </c>
      <c r="B10" s="101" t="s">
        <v>142</v>
      </c>
      <c r="C10" s="101" t="s">
        <v>105</v>
      </c>
      <c r="D10" s="101" t="s">
        <v>184</v>
      </c>
      <c r="H10" s="7"/>
    </row>
    <row r="11">
      <c r="A11" s="101" t="s">
        <v>397</v>
      </c>
      <c r="B11" s="101" t="s">
        <v>219</v>
      </c>
      <c r="C11" s="101" t="s">
        <v>145</v>
      </c>
      <c r="D11" s="101" t="s">
        <v>100</v>
      </c>
      <c r="H11" s="7"/>
    </row>
    <row r="12">
      <c r="A12" s="101" t="s">
        <v>223</v>
      </c>
      <c r="B12" s="101" t="s">
        <v>223</v>
      </c>
      <c r="C12" s="101" t="s">
        <v>219</v>
      </c>
      <c r="D12" s="101" t="s">
        <v>126</v>
      </c>
      <c r="H12" s="7"/>
    </row>
    <row r="13">
      <c r="A13" s="100" t="s">
        <v>1764</v>
      </c>
      <c r="B13" s="100" t="s">
        <v>1765</v>
      </c>
      <c r="C13" s="100" t="s">
        <v>1766</v>
      </c>
      <c r="D13" s="100" t="s">
        <v>1767</v>
      </c>
      <c r="H13" s="7"/>
    </row>
    <row r="14">
      <c r="A14" s="101" t="s">
        <v>179</v>
      </c>
      <c r="B14" s="101" t="s">
        <v>215</v>
      </c>
      <c r="C14" s="101" t="s">
        <v>209</v>
      </c>
      <c r="D14" s="101" t="s">
        <v>192</v>
      </c>
      <c r="H14" s="7"/>
    </row>
    <row r="15">
      <c r="A15" s="101" t="s">
        <v>86</v>
      </c>
      <c r="B15" s="101" t="s">
        <v>238</v>
      </c>
      <c r="C15" s="101" t="s">
        <v>401</v>
      </c>
      <c r="D15" s="101" t="s">
        <v>229</v>
      </c>
      <c r="H15" s="7"/>
    </row>
    <row r="16">
      <c r="A16" s="101" t="s">
        <v>144</v>
      </c>
      <c r="B16" s="101" t="s">
        <v>229</v>
      </c>
      <c r="C16" s="101" t="s">
        <v>256</v>
      </c>
      <c r="D16" s="101" t="s">
        <v>147</v>
      </c>
      <c r="H16" s="7"/>
    </row>
    <row r="17">
      <c r="A17" s="101" t="s">
        <v>289</v>
      </c>
      <c r="B17" s="101" t="s">
        <v>113</v>
      </c>
      <c r="C17" s="101" t="s">
        <v>319</v>
      </c>
      <c r="D17" s="101" t="s">
        <v>97</v>
      </c>
      <c r="H17" s="7"/>
    </row>
    <row r="18">
      <c r="A18" s="101" t="s">
        <v>213</v>
      </c>
      <c r="B18" s="101" t="s">
        <v>303</v>
      </c>
      <c r="C18" s="101" t="s">
        <v>150</v>
      </c>
      <c r="D18" s="101" t="s">
        <v>221</v>
      </c>
      <c r="H18" s="7"/>
    </row>
    <row r="19">
      <c r="A19" s="101" t="s">
        <v>328</v>
      </c>
      <c r="B19" s="101" t="s">
        <v>180</v>
      </c>
      <c r="C19" s="101" t="s">
        <v>204</v>
      </c>
      <c r="D19" s="101" t="s">
        <v>204</v>
      </c>
      <c r="H19" s="7"/>
    </row>
    <row r="20">
      <c r="A20" s="101" t="s">
        <v>184</v>
      </c>
      <c r="B20" s="101" t="s">
        <v>186</v>
      </c>
      <c r="C20" s="101" t="s">
        <v>100</v>
      </c>
      <c r="D20" s="101" t="s">
        <v>153</v>
      </c>
      <c r="H20" s="7"/>
    </row>
    <row r="21">
      <c r="A21" s="101" t="s">
        <v>234</v>
      </c>
      <c r="B21" s="101" t="s">
        <v>219</v>
      </c>
      <c r="C21" s="101" t="s">
        <v>125</v>
      </c>
      <c r="D21" s="101" t="s">
        <v>199</v>
      </c>
      <c r="H21" s="7"/>
    </row>
    <row r="22">
      <c r="A22" s="166"/>
      <c r="H22" s="7"/>
    </row>
    <row r="23">
      <c r="A23" s="166">
        <v>44044.0</v>
      </c>
      <c r="H23" s="7"/>
    </row>
    <row r="24">
      <c r="A24" s="100" t="s">
        <v>1760</v>
      </c>
      <c r="B24" s="100" t="s">
        <v>1761</v>
      </c>
      <c r="C24" s="100" t="s">
        <v>1762</v>
      </c>
      <c r="D24" s="100" t="s">
        <v>1763</v>
      </c>
      <c r="E24" s="100" t="s">
        <v>1764</v>
      </c>
      <c r="F24" s="100" t="s">
        <v>1765</v>
      </c>
      <c r="H24" s="7"/>
    </row>
    <row r="25">
      <c r="A25" s="101" t="s">
        <v>274</v>
      </c>
      <c r="B25" s="101" t="s">
        <v>236</v>
      </c>
      <c r="C25" s="101" t="s">
        <v>210</v>
      </c>
      <c r="D25" s="101" t="s">
        <v>278</v>
      </c>
      <c r="E25" s="101" t="s">
        <v>179</v>
      </c>
      <c r="F25" s="101" t="s">
        <v>215</v>
      </c>
      <c r="H25" s="7"/>
    </row>
    <row r="26">
      <c r="A26" s="101" t="s">
        <v>389</v>
      </c>
      <c r="B26" s="101" t="s">
        <v>116</v>
      </c>
      <c r="C26" s="101" t="s">
        <v>328</v>
      </c>
      <c r="D26" s="101" t="s">
        <v>203</v>
      </c>
      <c r="E26" s="101" t="s">
        <v>86</v>
      </c>
      <c r="F26" s="101" t="s">
        <v>238</v>
      </c>
      <c r="H26" s="7"/>
    </row>
    <row r="27">
      <c r="A27" s="101" t="s">
        <v>388</v>
      </c>
      <c r="B27" s="101" t="s">
        <v>213</v>
      </c>
      <c r="C27" s="101" t="s">
        <v>200</v>
      </c>
      <c r="D27" s="101" t="s">
        <v>142</v>
      </c>
      <c r="E27" s="101" t="s">
        <v>144</v>
      </c>
      <c r="F27" s="101" t="s">
        <v>229</v>
      </c>
      <c r="H27" s="7"/>
    </row>
    <row r="28">
      <c r="A28" s="101" t="s">
        <v>130</v>
      </c>
      <c r="B28" s="101" t="s">
        <v>289</v>
      </c>
      <c r="C28" s="101" t="s">
        <v>186</v>
      </c>
      <c r="D28" s="101" t="s">
        <v>86</v>
      </c>
      <c r="E28" s="101" t="s">
        <v>289</v>
      </c>
      <c r="F28" s="101" t="s">
        <v>113</v>
      </c>
      <c r="H28" s="7"/>
    </row>
    <row r="29">
      <c r="A29" s="101" t="s">
        <v>142</v>
      </c>
      <c r="B29" s="101" t="s">
        <v>300</v>
      </c>
      <c r="C29" s="101" t="s">
        <v>139</v>
      </c>
      <c r="D29" s="101" t="s">
        <v>139</v>
      </c>
      <c r="E29" s="101" t="s">
        <v>213</v>
      </c>
      <c r="F29" s="101" t="s">
        <v>303</v>
      </c>
      <c r="H29" s="7"/>
    </row>
    <row r="30">
      <c r="A30" s="101" t="s">
        <v>184</v>
      </c>
      <c r="B30" s="101" t="s">
        <v>142</v>
      </c>
      <c r="C30" s="101" t="s">
        <v>105</v>
      </c>
      <c r="D30" s="101" t="s">
        <v>184</v>
      </c>
      <c r="E30" s="101" t="s">
        <v>328</v>
      </c>
      <c r="F30" s="101" t="s">
        <v>180</v>
      </c>
      <c r="H30" s="7"/>
    </row>
    <row r="31">
      <c r="A31" s="101" t="s">
        <v>397</v>
      </c>
      <c r="B31" s="101" t="s">
        <v>219</v>
      </c>
      <c r="C31" s="101" t="s">
        <v>145</v>
      </c>
      <c r="D31" s="101" t="s">
        <v>100</v>
      </c>
      <c r="E31" s="101" t="s">
        <v>184</v>
      </c>
      <c r="F31" s="101" t="s">
        <v>186</v>
      </c>
      <c r="H31" s="7"/>
    </row>
    <row r="32">
      <c r="A32" s="101" t="s">
        <v>223</v>
      </c>
      <c r="B32" s="101" t="s">
        <v>223</v>
      </c>
      <c r="C32" s="101" t="s">
        <v>219</v>
      </c>
      <c r="D32" s="101" t="s">
        <v>126</v>
      </c>
      <c r="E32" s="101" t="s">
        <v>234</v>
      </c>
      <c r="F32" s="101" t="s">
        <v>219</v>
      </c>
      <c r="H32" s="7"/>
    </row>
    <row r="33">
      <c r="A33" s="167"/>
      <c r="H33" s="7"/>
    </row>
    <row r="34">
      <c r="A34" s="166">
        <v>44013.0</v>
      </c>
      <c r="H34" s="7"/>
    </row>
    <row r="35">
      <c r="A35" s="100" t="s">
        <v>1760</v>
      </c>
      <c r="B35" s="100" t="s">
        <v>1768</v>
      </c>
      <c r="C35" s="100" t="s">
        <v>1767</v>
      </c>
      <c r="D35" s="100" t="s">
        <v>1763</v>
      </c>
      <c r="E35" s="100" t="s">
        <v>1764</v>
      </c>
      <c r="F35" s="100" t="s">
        <v>1765</v>
      </c>
      <c r="H35" s="7"/>
    </row>
    <row r="36">
      <c r="A36" s="101" t="s">
        <v>274</v>
      </c>
      <c r="B36" s="101" t="s">
        <v>107</v>
      </c>
      <c r="C36" s="101" t="s">
        <v>192</v>
      </c>
      <c r="D36" s="101" t="s">
        <v>278</v>
      </c>
      <c r="E36" s="101" t="s">
        <v>179</v>
      </c>
      <c r="F36" s="101" t="s">
        <v>215</v>
      </c>
      <c r="H36" s="7"/>
    </row>
    <row r="37">
      <c r="A37" s="101" t="s">
        <v>389</v>
      </c>
      <c r="B37" s="101" t="s">
        <v>204</v>
      </c>
      <c r="C37" s="101" t="s">
        <v>229</v>
      </c>
      <c r="D37" s="101" t="s">
        <v>203</v>
      </c>
      <c r="E37" s="101" t="s">
        <v>86</v>
      </c>
      <c r="F37" s="101" t="s">
        <v>238</v>
      </c>
      <c r="H37" s="7"/>
    </row>
    <row r="38">
      <c r="A38" s="101" t="s">
        <v>388</v>
      </c>
      <c r="B38" s="101" t="s">
        <v>184</v>
      </c>
      <c r="C38" s="101" t="s">
        <v>147</v>
      </c>
      <c r="D38" s="101" t="s">
        <v>142</v>
      </c>
      <c r="E38" s="101" t="s">
        <v>144</v>
      </c>
      <c r="F38" s="101" t="s">
        <v>229</v>
      </c>
      <c r="H38" s="7"/>
    </row>
    <row r="39">
      <c r="A39" s="101" t="s">
        <v>130</v>
      </c>
      <c r="B39" s="101" t="s">
        <v>100</v>
      </c>
      <c r="C39" s="101" t="s">
        <v>97</v>
      </c>
      <c r="D39" s="101" t="s">
        <v>86</v>
      </c>
      <c r="E39" s="101" t="s">
        <v>289</v>
      </c>
      <c r="F39" s="101" t="s">
        <v>113</v>
      </c>
      <c r="H39" s="7"/>
    </row>
    <row r="40">
      <c r="A40" s="101" t="s">
        <v>142</v>
      </c>
      <c r="B40" s="101" t="s">
        <v>214</v>
      </c>
      <c r="C40" s="101" t="s">
        <v>221</v>
      </c>
      <c r="D40" s="101" t="s">
        <v>139</v>
      </c>
      <c r="E40" s="101" t="s">
        <v>213</v>
      </c>
      <c r="F40" s="101" t="s">
        <v>303</v>
      </c>
      <c r="H40" s="7"/>
    </row>
    <row r="41">
      <c r="A41" s="101" t="s">
        <v>184</v>
      </c>
      <c r="B41" s="101" t="s">
        <v>288</v>
      </c>
      <c r="C41" s="101" t="s">
        <v>204</v>
      </c>
      <c r="D41" s="101" t="s">
        <v>184</v>
      </c>
      <c r="E41" s="101" t="s">
        <v>328</v>
      </c>
      <c r="F41" s="101" t="s">
        <v>180</v>
      </c>
      <c r="H41" s="7"/>
    </row>
    <row r="42">
      <c r="A42" s="101" t="s">
        <v>397</v>
      </c>
      <c r="B42" s="101" t="s">
        <v>142</v>
      </c>
      <c r="C42" s="101" t="s">
        <v>153</v>
      </c>
      <c r="D42" s="101" t="s">
        <v>100</v>
      </c>
      <c r="E42" s="101" t="s">
        <v>184</v>
      </c>
      <c r="F42" s="101" t="s">
        <v>186</v>
      </c>
      <c r="H42" s="7"/>
    </row>
    <row r="43">
      <c r="A43" s="101" t="s">
        <v>223</v>
      </c>
      <c r="B43" s="101" t="s">
        <v>180</v>
      </c>
      <c r="C43" s="101" t="s">
        <v>199</v>
      </c>
      <c r="D43" s="101" t="s">
        <v>126</v>
      </c>
      <c r="E43" s="101" t="s">
        <v>234</v>
      </c>
      <c r="F43" s="101" t="s">
        <v>219</v>
      </c>
      <c r="H43" s="7"/>
    </row>
    <row r="44">
      <c r="A44" s="167"/>
      <c r="H44" s="7"/>
    </row>
    <row r="45">
      <c r="A45" s="166">
        <v>43983.0</v>
      </c>
      <c r="H45" s="7"/>
    </row>
    <row r="46">
      <c r="A46" s="100" t="s">
        <v>1762</v>
      </c>
      <c r="B46" s="100" t="s">
        <v>1768</v>
      </c>
      <c r="C46" s="100" t="s">
        <v>1769</v>
      </c>
      <c r="D46" s="100" t="s">
        <v>1770</v>
      </c>
      <c r="E46" s="100" t="s">
        <v>1771</v>
      </c>
      <c r="F46" s="100" t="s">
        <v>1761</v>
      </c>
      <c r="H46" s="7"/>
    </row>
    <row r="47">
      <c r="A47" s="101" t="s">
        <v>210</v>
      </c>
      <c r="B47" s="101" t="s">
        <v>107</v>
      </c>
      <c r="C47" s="101" t="s">
        <v>214</v>
      </c>
      <c r="D47" s="101" t="s">
        <v>178</v>
      </c>
      <c r="E47" s="101" t="s">
        <v>196</v>
      </c>
      <c r="F47" s="101" t="s">
        <v>236</v>
      </c>
      <c r="H47" s="7"/>
    </row>
    <row r="48">
      <c r="A48" s="101" t="s">
        <v>328</v>
      </c>
      <c r="B48" s="101" t="s">
        <v>204</v>
      </c>
      <c r="C48" s="101" t="s">
        <v>229</v>
      </c>
      <c r="D48" s="101" t="s">
        <v>203</v>
      </c>
      <c r="E48" s="101" t="s">
        <v>180</v>
      </c>
      <c r="F48" s="101" t="s">
        <v>116</v>
      </c>
      <c r="H48" s="7"/>
    </row>
    <row r="49">
      <c r="A49" s="101" t="s">
        <v>200</v>
      </c>
      <c r="B49" s="101" t="s">
        <v>184</v>
      </c>
      <c r="C49" s="101" t="s">
        <v>147</v>
      </c>
      <c r="D49" s="101" t="s">
        <v>186</v>
      </c>
      <c r="E49" s="101" t="s">
        <v>204</v>
      </c>
      <c r="F49" s="101" t="s">
        <v>213</v>
      </c>
      <c r="H49" s="7"/>
    </row>
    <row r="50">
      <c r="A50" s="101" t="s">
        <v>186</v>
      </c>
      <c r="B50" s="101" t="s">
        <v>100</v>
      </c>
      <c r="C50" s="101" t="s">
        <v>232</v>
      </c>
      <c r="D50" s="101" t="s">
        <v>125</v>
      </c>
      <c r="E50" s="101" t="s">
        <v>100</v>
      </c>
      <c r="F50" s="101" t="s">
        <v>289</v>
      </c>
      <c r="H50" s="7"/>
    </row>
    <row r="51">
      <c r="A51" s="101" t="s">
        <v>139</v>
      </c>
      <c r="B51" s="101" t="s">
        <v>214</v>
      </c>
      <c r="C51" s="101" t="s">
        <v>316</v>
      </c>
      <c r="D51" s="101" t="s">
        <v>180</v>
      </c>
      <c r="E51" s="101" t="s">
        <v>316</v>
      </c>
      <c r="F51" s="101" t="s">
        <v>300</v>
      </c>
      <c r="H51" s="7"/>
    </row>
    <row r="52">
      <c r="A52" s="101" t="s">
        <v>105</v>
      </c>
      <c r="B52" s="101" t="s">
        <v>288</v>
      </c>
      <c r="C52" s="101" t="s">
        <v>192</v>
      </c>
      <c r="D52" s="101" t="s">
        <v>401</v>
      </c>
      <c r="E52" s="101" t="s">
        <v>252</v>
      </c>
      <c r="F52" s="101" t="s">
        <v>142</v>
      </c>
      <c r="H52" s="7"/>
    </row>
    <row r="53">
      <c r="A53" s="101" t="s">
        <v>145</v>
      </c>
      <c r="B53" s="101" t="s">
        <v>142</v>
      </c>
      <c r="C53" s="101" t="s">
        <v>204</v>
      </c>
      <c r="D53" s="101" t="s">
        <v>256</v>
      </c>
      <c r="E53" s="101" t="s">
        <v>229</v>
      </c>
      <c r="F53" s="101" t="s">
        <v>219</v>
      </c>
      <c r="H53" s="7"/>
    </row>
    <row r="54">
      <c r="A54" s="101" t="s">
        <v>219</v>
      </c>
      <c r="B54" s="101" t="s">
        <v>180</v>
      </c>
      <c r="C54" s="101" t="s">
        <v>199</v>
      </c>
      <c r="D54" s="101" t="s">
        <v>219</v>
      </c>
      <c r="E54" s="101" t="s">
        <v>113</v>
      </c>
      <c r="F54" s="101" t="s">
        <v>223</v>
      </c>
      <c r="H54" s="7"/>
    </row>
    <row r="55">
      <c r="A55" s="167"/>
      <c r="H55" s="7"/>
    </row>
    <row r="56">
      <c r="A56" s="166">
        <v>43952.0</v>
      </c>
      <c r="H56" s="7"/>
    </row>
    <row r="57">
      <c r="A57" s="100" t="s">
        <v>1762</v>
      </c>
      <c r="B57" s="100" t="s">
        <v>1765</v>
      </c>
      <c r="C57" s="100" t="s">
        <v>1772</v>
      </c>
      <c r="D57" s="100" t="s">
        <v>1773</v>
      </c>
      <c r="E57" s="100" t="s">
        <v>1761</v>
      </c>
      <c r="F57" s="100" t="s">
        <v>1774</v>
      </c>
      <c r="H57" s="7"/>
    </row>
    <row r="58">
      <c r="A58" s="101" t="s">
        <v>210</v>
      </c>
      <c r="B58" s="101" t="s">
        <v>215</v>
      </c>
      <c r="C58" s="101" t="s">
        <v>278</v>
      </c>
      <c r="D58" s="101" t="s">
        <v>188</v>
      </c>
      <c r="E58" s="101" t="s">
        <v>236</v>
      </c>
      <c r="F58" s="101" t="s">
        <v>203</v>
      </c>
      <c r="H58" s="7"/>
    </row>
    <row r="59">
      <c r="A59" s="101" t="s">
        <v>328</v>
      </c>
      <c r="B59" s="101" t="s">
        <v>238</v>
      </c>
      <c r="C59" s="101" t="s">
        <v>130</v>
      </c>
      <c r="D59" s="101" t="s">
        <v>129</v>
      </c>
      <c r="E59" s="101" t="s">
        <v>116</v>
      </c>
      <c r="F59" s="101" t="s">
        <v>222</v>
      </c>
      <c r="H59" s="7"/>
    </row>
    <row r="60">
      <c r="A60" s="101" t="s">
        <v>200</v>
      </c>
      <c r="B60" s="101" t="s">
        <v>229</v>
      </c>
      <c r="C60" s="101" t="s">
        <v>200</v>
      </c>
      <c r="D60" s="101" t="s">
        <v>221</v>
      </c>
      <c r="E60" s="101" t="s">
        <v>213</v>
      </c>
      <c r="F60" s="101" t="s">
        <v>221</v>
      </c>
      <c r="H60" s="7"/>
    </row>
    <row r="61">
      <c r="A61" s="101" t="s">
        <v>186</v>
      </c>
      <c r="B61" s="101" t="s">
        <v>113</v>
      </c>
      <c r="C61" s="101" t="s">
        <v>186</v>
      </c>
      <c r="D61" s="101" t="s">
        <v>115</v>
      </c>
      <c r="E61" s="101" t="s">
        <v>289</v>
      </c>
      <c r="F61" s="101" t="s">
        <v>219</v>
      </c>
      <c r="H61" s="7"/>
    </row>
    <row r="62">
      <c r="A62" s="101" t="s">
        <v>139</v>
      </c>
      <c r="B62" s="101" t="s">
        <v>303</v>
      </c>
      <c r="C62" s="101" t="s">
        <v>396</v>
      </c>
      <c r="D62" s="101" t="s">
        <v>370</v>
      </c>
      <c r="E62" s="101" t="s">
        <v>300</v>
      </c>
      <c r="F62" s="101" t="s">
        <v>389</v>
      </c>
      <c r="H62" s="7"/>
    </row>
    <row r="63">
      <c r="A63" s="101" t="s">
        <v>105</v>
      </c>
      <c r="B63" s="101" t="s">
        <v>180</v>
      </c>
      <c r="C63" s="101" t="s">
        <v>389</v>
      </c>
      <c r="D63" s="101" t="s">
        <v>204</v>
      </c>
      <c r="E63" s="101" t="s">
        <v>142</v>
      </c>
      <c r="F63" s="101" t="s">
        <v>105</v>
      </c>
      <c r="H63" s="7"/>
    </row>
    <row r="64">
      <c r="A64" s="101" t="s">
        <v>145</v>
      </c>
      <c r="B64" s="101" t="s">
        <v>186</v>
      </c>
      <c r="C64" s="101" t="s">
        <v>132</v>
      </c>
      <c r="D64" s="101" t="s">
        <v>397</v>
      </c>
      <c r="E64" s="101" t="s">
        <v>219</v>
      </c>
      <c r="F64" s="101" t="s">
        <v>186</v>
      </c>
      <c r="H64" s="7"/>
    </row>
    <row r="65">
      <c r="A65" s="101" t="s">
        <v>219</v>
      </c>
      <c r="B65" s="101" t="s">
        <v>219</v>
      </c>
      <c r="C65" s="101" t="s">
        <v>184</v>
      </c>
      <c r="D65" s="101" t="s">
        <v>199</v>
      </c>
      <c r="E65" s="101" t="s">
        <v>223</v>
      </c>
      <c r="F65" s="101" t="s">
        <v>145</v>
      </c>
      <c r="H65" s="7"/>
    </row>
    <row r="66">
      <c r="A66" s="167"/>
      <c r="H66" s="7"/>
    </row>
    <row r="67">
      <c r="A67" s="166">
        <v>43922.0</v>
      </c>
      <c r="H67" s="7"/>
    </row>
    <row r="68">
      <c r="A68" s="100" t="s">
        <v>1769</v>
      </c>
      <c r="B68" s="100" t="s">
        <v>1764</v>
      </c>
      <c r="C68" s="100" t="s">
        <v>1771</v>
      </c>
      <c r="D68" s="100" t="s">
        <v>1775</v>
      </c>
      <c r="E68" s="100" t="s">
        <v>1760</v>
      </c>
      <c r="F68" s="100" t="s">
        <v>1763</v>
      </c>
      <c r="H68" s="7"/>
    </row>
    <row r="69">
      <c r="A69" s="101" t="s">
        <v>214</v>
      </c>
      <c r="B69" s="101" t="s">
        <v>179</v>
      </c>
      <c r="C69" s="101" t="s">
        <v>196</v>
      </c>
      <c r="D69" s="101" t="s">
        <v>209</v>
      </c>
      <c r="E69" s="101" t="s">
        <v>274</v>
      </c>
      <c r="F69" s="101" t="s">
        <v>278</v>
      </c>
      <c r="H69" s="7"/>
    </row>
    <row r="70">
      <c r="A70" s="101" t="s">
        <v>229</v>
      </c>
      <c r="B70" s="101" t="s">
        <v>86</v>
      </c>
      <c r="C70" s="101" t="s">
        <v>180</v>
      </c>
      <c r="D70" s="101" t="s">
        <v>289</v>
      </c>
      <c r="E70" s="101" t="s">
        <v>389</v>
      </c>
      <c r="F70" s="101" t="s">
        <v>203</v>
      </c>
      <c r="H70" s="7"/>
    </row>
    <row r="71">
      <c r="A71" s="101" t="s">
        <v>147</v>
      </c>
      <c r="B71" s="101" t="s">
        <v>144</v>
      </c>
      <c r="C71" s="101" t="s">
        <v>204</v>
      </c>
      <c r="D71" s="101" t="s">
        <v>130</v>
      </c>
      <c r="E71" s="101" t="s">
        <v>388</v>
      </c>
      <c r="F71" s="101" t="s">
        <v>142</v>
      </c>
      <c r="H71" s="7"/>
    </row>
    <row r="72">
      <c r="A72" s="101" t="s">
        <v>232</v>
      </c>
      <c r="B72" s="101" t="s">
        <v>289</v>
      </c>
      <c r="C72" s="101" t="s">
        <v>100</v>
      </c>
      <c r="D72" s="101" t="s">
        <v>142</v>
      </c>
      <c r="E72" s="101" t="s">
        <v>130</v>
      </c>
      <c r="F72" s="101" t="s">
        <v>86</v>
      </c>
      <c r="H72" s="7"/>
    </row>
    <row r="73">
      <c r="A73" s="101" t="s">
        <v>316</v>
      </c>
      <c r="B73" s="101" t="s">
        <v>213</v>
      </c>
      <c r="C73" s="101" t="s">
        <v>316</v>
      </c>
      <c r="D73" s="101" t="s">
        <v>253</v>
      </c>
      <c r="E73" s="101" t="s">
        <v>142</v>
      </c>
      <c r="F73" s="101" t="s">
        <v>139</v>
      </c>
      <c r="H73" s="7"/>
    </row>
    <row r="74">
      <c r="A74" s="101" t="s">
        <v>192</v>
      </c>
      <c r="B74" s="101" t="s">
        <v>328</v>
      </c>
      <c r="C74" s="101" t="s">
        <v>252</v>
      </c>
      <c r="D74" s="101" t="s">
        <v>310</v>
      </c>
      <c r="E74" s="101" t="s">
        <v>184</v>
      </c>
      <c r="F74" s="101" t="s">
        <v>184</v>
      </c>
      <c r="H74" s="7"/>
    </row>
    <row r="75">
      <c r="A75" s="101" t="s">
        <v>204</v>
      </c>
      <c r="B75" s="101" t="s">
        <v>184</v>
      </c>
      <c r="C75" s="101" t="s">
        <v>229</v>
      </c>
      <c r="D75" s="101" t="s">
        <v>145</v>
      </c>
      <c r="E75" s="101" t="s">
        <v>397</v>
      </c>
      <c r="F75" s="101" t="s">
        <v>100</v>
      </c>
      <c r="H75" s="7"/>
    </row>
    <row r="76">
      <c r="A76" s="101" t="s">
        <v>199</v>
      </c>
      <c r="B76" s="101" t="s">
        <v>234</v>
      </c>
      <c r="C76" s="101" t="s">
        <v>113</v>
      </c>
      <c r="D76" s="101" t="s">
        <v>223</v>
      </c>
      <c r="E76" s="101" t="s">
        <v>223</v>
      </c>
      <c r="F76" s="101" t="s">
        <v>126</v>
      </c>
      <c r="H76" s="7"/>
    </row>
    <row r="77">
      <c r="A77" s="167"/>
      <c r="H77" s="7"/>
    </row>
    <row r="78">
      <c r="A78" s="166">
        <v>43891.0</v>
      </c>
      <c r="H78" s="7"/>
    </row>
    <row r="79">
      <c r="A79" s="100" t="s">
        <v>1776</v>
      </c>
      <c r="B79" s="100" t="s">
        <v>1761</v>
      </c>
      <c r="C79" s="100" t="s">
        <v>1777</v>
      </c>
      <c r="D79" s="100" t="s">
        <v>1778</v>
      </c>
      <c r="E79" s="100" t="s">
        <v>1779</v>
      </c>
      <c r="F79" s="100" t="s">
        <v>1770</v>
      </c>
      <c r="H79" s="7"/>
    </row>
    <row r="80">
      <c r="A80" s="101" t="s">
        <v>311</v>
      </c>
      <c r="B80" s="101" t="s">
        <v>236</v>
      </c>
      <c r="C80" s="101" t="s">
        <v>201</v>
      </c>
      <c r="D80" s="101" t="s">
        <v>212</v>
      </c>
      <c r="E80" s="101" t="s">
        <v>276</v>
      </c>
      <c r="F80" s="101" t="s">
        <v>178</v>
      </c>
      <c r="H80" s="7"/>
    </row>
    <row r="81">
      <c r="A81" s="101" t="s">
        <v>398</v>
      </c>
      <c r="B81" s="101" t="s">
        <v>116</v>
      </c>
      <c r="C81" s="101" t="s">
        <v>222</v>
      </c>
      <c r="D81" s="101" t="s">
        <v>252</v>
      </c>
      <c r="E81" s="101" t="s">
        <v>328</v>
      </c>
      <c r="F81" s="101" t="s">
        <v>203</v>
      </c>
      <c r="H81" s="7"/>
    </row>
    <row r="82">
      <c r="A82" s="101" t="s">
        <v>226</v>
      </c>
      <c r="B82" s="101" t="s">
        <v>213</v>
      </c>
      <c r="C82" s="101" t="s">
        <v>221</v>
      </c>
      <c r="D82" s="101" t="s">
        <v>229</v>
      </c>
      <c r="E82" s="101" t="s">
        <v>389</v>
      </c>
      <c r="F82" s="101" t="s">
        <v>186</v>
      </c>
      <c r="H82" s="7"/>
    </row>
    <row r="83">
      <c r="A83" s="101" t="s">
        <v>130</v>
      </c>
      <c r="B83" s="101" t="s">
        <v>289</v>
      </c>
      <c r="C83" s="101" t="s">
        <v>125</v>
      </c>
      <c r="D83" s="101" t="s">
        <v>328</v>
      </c>
      <c r="E83" s="101" t="s">
        <v>105</v>
      </c>
      <c r="F83" s="101" t="s">
        <v>125</v>
      </c>
      <c r="H83" s="7"/>
    </row>
    <row r="84">
      <c r="A84" s="101" t="s">
        <v>116</v>
      </c>
      <c r="B84" s="101" t="s">
        <v>300</v>
      </c>
      <c r="C84" s="101" t="s">
        <v>282</v>
      </c>
      <c r="D84" s="101" t="s">
        <v>129</v>
      </c>
      <c r="E84" s="101" t="s">
        <v>219</v>
      </c>
      <c r="F84" s="101" t="s">
        <v>180</v>
      </c>
      <c r="H84" s="7"/>
    </row>
    <row r="85">
      <c r="A85" s="101" t="s">
        <v>145</v>
      </c>
      <c r="B85" s="101" t="s">
        <v>142</v>
      </c>
      <c r="C85" s="101" t="s">
        <v>93</v>
      </c>
      <c r="D85" s="101" t="s">
        <v>180</v>
      </c>
      <c r="E85" s="101" t="s">
        <v>145</v>
      </c>
      <c r="F85" s="101" t="s">
        <v>401</v>
      </c>
      <c r="H85" s="7"/>
    </row>
    <row r="86">
      <c r="A86" s="101" t="s">
        <v>397</v>
      </c>
      <c r="B86" s="101" t="s">
        <v>219</v>
      </c>
      <c r="C86" s="101" t="s">
        <v>204</v>
      </c>
      <c r="D86" s="101" t="s">
        <v>145</v>
      </c>
      <c r="E86" s="101" t="s">
        <v>222</v>
      </c>
      <c r="F86" s="101" t="s">
        <v>256</v>
      </c>
      <c r="H86" s="7"/>
    </row>
    <row r="87">
      <c r="A87" s="101" t="s">
        <v>234</v>
      </c>
      <c r="B87" s="101" t="s">
        <v>223</v>
      </c>
      <c r="C87" s="101" t="s">
        <v>100</v>
      </c>
      <c r="D87" s="101" t="s">
        <v>320</v>
      </c>
      <c r="E87" s="101" t="s">
        <v>86</v>
      </c>
      <c r="F87" s="101" t="s">
        <v>219</v>
      </c>
      <c r="H87" s="7"/>
    </row>
    <row r="88">
      <c r="A88" s="7"/>
      <c r="H88" s="7"/>
    </row>
    <row r="89">
      <c r="A89" s="166">
        <v>43862.0</v>
      </c>
      <c r="H89" s="7"/>
    </row>
    <row r="90">
      <c r="A90" s="100" t="s">
        <v>1764</v>
      </c>
      <c r="B90" s="100" t="s">
        <v>1763</v>
      </c>
      <c r="C90" s="100" t="s">
        <v>1767</v>
      </c>
      <c r="D90" s="100" t="s">
        <v>1775</v>
      </c>
      <c r="E90" s="100" t="s">
        <v>1762</v>
      </c>
      <c r="F90" s="100" t="s">
        <v>1768</v>
      </c>
      <c r="H90" s="7"/>
    </row>
    <row r="91">
      <c r="A91" s="101" t="s">
        <v>179</v>
      </c>
      <c r="B91" s="101" t="s">
        <v>278</v>
      </c>
      <c r="C91" s="101" t="s">
        <v>192</v>
      </c>
      <c r="D91" s="101" t="s">
        <v>209</v>
      </c>
      <c r="E91" s="101" t="s">
        <v>210</v>
      </c>
      <c r="F91" s="101" t="s">
        <v>107</v>
      </c>
      <c r="H91" s="7"/>
    </row>
    <row r="92">
      <c r="A92" s="101" t="s">
        <v>86</v>
      </c>
      <c r="B92" s="101" t="s">
        <v>203</v>
      </c>
      <c r="C92" s="101" t="s">
        <v>229</v>
      </c>
      <c r="D92" s="101" t="s">
        <v>289</v>
      </c>
      <c r="E92" s="101" t="s">
        <v>328</v>
      </c>
      <c r="F92" s="101" t="s">
        <v>204</v>
      </c>
      <c r="H92" s="7"/>
    </row>
    <row r="93">
      <c r="A93" s="101" t="s">
        <v>144</v>
      </c>
      <c r="B93" s="101" t="s">
        <v>142</v>
      </c>
      <c r="C93" s="101" t="s">
        <v>147</v>
      </c>
      <c r="D93" s="101" t="s">
        <v>130</v>
      </c>
      <c r="E93" s="101" t="s">
        <v>200</v>
      </c>
      <c r="F93" s="101" t="s">
        <v>184</v>
      </c>
      <c r="H93" s="7"/>
    </row>
    <row r="94">
      <c r="A94" s="101" t="s">
        <v>289</v>
      </c>
      <c r="B94" s="101" t="s">
        <v>86</v>
      </c>
      <c r="C94" s="101" t="s">
        <v>97</v>
      </c>
      <c r="D94" s="101" t="s">
        <v>142</v>
      </c>
      <c r="E94" s="101" t="s">
        <v>186</v>
      </c>
      <c r="F94" s="101" t="s">
        <v>100</v>
      </c>
      <c r="H94" s="7"/>
    </row>
    <row r="95">
      <c r="A95" s="101" t="s">
        <v>213</v>
      </c>
      <c r="B95" s="101" t="s">
        <v>139</v>
      </c>
      <c r="C95" s="101" t="s">
        <v>221</v>
      </c>
      <c r="D95" s="101" t="s">
        <v>253</v>
      </c>
      <c r="E95" s="101" t="s">
        <v>139</v>
      </c>
      <c r="F95" s="101" t="s">
        <v>214</v>
      </c>
      <c r="H95" s="7"/>
    </row>
    <row r="96">
      <c r="A96" s="101" t="s">
        <v>328</v>
      </c>
      <c r="B96" s="101" t="s">
        <v>184</v>
      </c>
      <c r="C96" s="101" t="s">
        <v>204</v>
      </c>
      <c r="D96" s="101" t="s">
        <v>310</v>
      </c>
      <c r="E96" s="101" t="s">
        <v>105</v>
      </c>
      <c r="F96" s="101" t="s">
        <v>288</v>
      </c>
      <c r="H96" s="7"/>
    </row>
    <row r="97">
      <c r="A97" s="101" t="s">
        <v>184</v>
      </c>
      <c r="B97" s="101" t="s">
        <v>100</v>
      </c>
      <c r="C97" s="101" t="s">
        <v>153</v>
      </c>
      <c r="D97" s="101" t="s">
        <v>145</v>
      </c>
      <c r="E97" s="101" t="s">
        <v>145</v>
      </c>
      <c r="F97" s="101" t="s">
        <v>142</v>
      </c>
      <c r="H97" s="7"/>
    </row>
    <row r="98">
      <c r="A98" s="101" t="s">
        <v>234</v>
      </c>
      <c r="B98" s="101" t="s">
        <v>126</v>
      </c>
      <c r="C98" s="101" t="s">
        <v>199</v>
      </c>
      <c r="D98" s="101" t="s">
        <v>223</v>
      </c>
      <c r="E98" s="101" t="s">
        <v>219</v>
      </c>
      <c r="F98" s="101" t="s">
        <v>180</v>
      </c>
      <c r="H98" s="7"/>
    </row>
    <row r="99">
      <c r="A99" s="7"/>
      <c r="H99" s="7"/>
    </row>
    <row r="100">
      <c r="A100" s="166">
        <v>43831.0</v>
      </c>
      <c r="H100" s="7"/>
    </row>
    <row r="101">
      <c r="A101" s="100" t="s">
        <v>1778</v>
      </c>
      <c r="B101" s="100" t="s">
        <v>1777</v>
      </c>
      <c r="C101" s="100" t="s">
        <v>1776</v>
      </c>
      <c r="D101" s="100" t="s">
        <v>1765</v>
      </c>
      <c r="E101" s="100" t="s">
        <v>1773</v>
      </c>
      <c r="F101" s="100" t="s">
        <v>1774</v>
      </c>
      <c r="H101" s="7"/>
    </row>
    <row r="102">
      <c r="A102" s="101" t="s">
        <v>212</v>
      </c>
      <c r="B102" s="101" t="s">
        <v>201</v>
      </c>
      <c r="C102" s="101" t="s">
        <v>311</v>
      </c>
      <c r="D102" s="101" t="s">
        <v>215</v>
      </c>
      <c r="E102" s="101" t="s">
        <v>188</v>
      </c>
      <c r="F102" s="101" t="s">
        <v>203</v>
      </c>
      <c r="H102" s="7"/>
    </row>
    <row r="103">
      <c r="A103" s="101" t="s">
        <v>252</v>
      </c>
      <c r="B103" s="101" t="s">
        <v>222</v>
      </c>
      <c r="C103" s="101" t="s">
        <v>398</v>
      </c>
      <c r="D103" s="101" t="s">
        <v>238</v>
      </c>
      <c r="E103" s="101" t="s">
        <v>129</v>
      </c>
      <c r="F103" s="101" t="s">
        <v>222</v>
      </c>
      <c r="H103" s="7"/>
    </row>
    <row r="104">
      <c r="A104" s="101" t="s">
        <v>229</v>
      </c>
      <c r="B104" s="101" t="s">
        <v>221</v>
      </c>
      <c r="C104" s="101" t="s">
        <v>226</v>
      </c>
      <c r="D104" s="101" t="s">
        <v>229</v>
      </c>
      <c r="E104" s="101" t="s">
        <v>221</v>
      </c>
      <c r="F104" s="101" t="s">
        <v>221</v>
      </c>
      <c r="H104" s="7"/>
    </row>
    <row r="105">
      <c r="A105" s="101" t="s">
        <v>328</v>
      </c>
      <c r="B105" s="101" t="s">
        <v>125</v>
      </c>
      <c r="C105" s="101" t="s">
        <v>130</v>
      </c>
      <c r="D105" s="101" t="s">
        <v>113</v>
      </c>
      <c r="E105" s="101" t="s">
        <v>115</v>
      </c>
      <c r="F105" s="101" t="s">
        <v>219</v>
      </c>
      <c r="H105" s="7"/>
    </row>
    <row r="106">
      <c r="A106" s="101" t="s">
        <v>129</v>
      </c>
      <c r="B106" s="101" t="s">
        <v>282</v>
      </c>
      <c r="C106" s="101" t="s">
        <v>116</v>
      </c>
      <c r="D106" s="101" t="s">
        <v>303</v>
      </c>
      <c r="E106" s="101" t="s">
        <v>370</v>
      </c>
      <c r="F106" s="101" t="s">
        <v>389</v>
      </c>
      <c r="H106" s="7"/>
    </row>
    <row r="107">
      <c r="A107" s="101" t="s">
        <v>180</v>
      </c>
      <c r="B107" s="101" t="s">
        <v>93</v>
      </c>
      <c r="C107" s="101" t="s">
        <v>145</v>
      </c>
      <c r="D107" s="101" t="s">
        <v>180</v>
      </c>
      <c r="E107" s="101" t="s">
        <v>204</v>
      </c>
      <c r="F107" s="101" t="s">
        <v>105</v>
      </c>
      <c r="H107" s="7"/>
    </row>
    <row r="108">
      <c r="A108" s="101" t="s">
        <v>145</v>
      </c>
      <c r="B108" s="101" t="s">
        <v>204</v>
      </c>
      <c r="C108" s="101" t="s">
        <v>397</v>
      </c>
      <c r="D108" s="101" t="s">
        <v>186</v>
      </c>
      <c r="E108" s="101" t="s">
        <v>397</v>
      </c>
      <c r="F108" s="101" t="s">
        <v>186</v>
      </c>
      <c r="H108" s="7"/>
    </row>
    <row r="109">
      <c r="A109" s="101" t="s">
        <v>320</v>
      </c>
      <c r="B109" s="101" t="s">
        <v>100</v>
      </c>
      <c r="C109" s="101" t="s">
        <v>234</v>
      </c>
      <c r="D109" s="101" t="s">
        <v>219</v>
      </c>
      <c r="E109" s="101" t="s">
        <v>199</v>
      </c>
      <c r="F109" s="101" t="s">
        <v>145</v>
      </c>
      <c r="H109" s="7"/>
    </row>
    <row r="110">
      <c r="A110" s="7"/>
      <c r="H110" s="7"/>
    </row>
    <row r="111">
      <c r="A111" s="166">
        <v>43800.0</v>
      </c>
      <c r="H111" s="7"/>
    </row>
    <row r="112">
      <c r="A112" s="100" t="s">
        <v>1769</v>
      </c>
      <c r="B112" s="100" t="s">
        <v>1776</v>
      </c>
      <c r="C112" s="100" t="s">
        <v>1761</v>
      </c>
      <c r="D112" s="100" t="s">
        <v>1779</v>
      </c>
      <c r="E112" s="100" t="s">
        <v>1764</v>
      </c>
      <c r="F112" s="100" t="s">
        <v>1775</v>
      </c>
      <c r="H112" s="7"/>
    </row>
    <row r="113">
      <c r="A113" s="101" t="s">
        <v>214</v>
      </c>
      <c r="B113" s="101" t="s">
        <v>311</v>
      </c>
      <c r="C113" s="101" t="s">
        <v>236</v>
      </c>
      <c r="D113" s="101" t="s">
        <v>276</v>
      </c>
      <c r="E113" s="101" t="s">
        <v>179</v>
      </c>
      <c r="F113" s="101" t="s">
        <v>209</v>
      </c>
      <c r="H113" s="7"/>
    </row>
    <row r="114">
      <c r="A114" s="101" t="s">
        <v>229</v>
      </c>
      <c r="B114" s="101" t="s">
        <v>398</v>
      </c>
      <c r="C114" s="101" t="s">
        <v>116</v>
      </c>
      <c r="D114" s="101" t="s">
        <v>328</v>
      </c>
      <c r="E114" s="101" t="s">
        <v>86</v>
      </c>
      <c r="F114" s="101" t="s">
        <v>289</v>
      </c>
      <c r="H114" s="7"/>
    </row>
    <row r="115">
      <c r="A115" s="101" t="s">
        <v>147</v>
      </c>
      <c r="B115" s="101" t="s">
        <v>226</v>
      </c>
      <c r="C115" s="101" t="s">
        <v>213</v>
      </c>
      <c r="D115" s="101" t="s">
        <v>389</v>
      </c>
      <c r="E115" s="101" t="s">
        <v>144</v>
      </c>
      <c r="F115" s="101" t="s">
        <v>130</v>
      </c>
      <c r="H115" s="7"/>
    </row>
    <row r="116">
      <c r="A116" s="101" t="s">
        <v>232</v>
      </c>
      <c r="B116" s="101" t="s">
        <v>130</v>
      </c>
      <c r="C116" s="101" t="s">
        <v>289</v>
      </c>
      <c r="D116" s="101" t="s">
        <v>105</v>
      </c>
      <c r="E116" s="101" t="s">
        <v>289</v>
      </c>
      <c r="F116" s="101" t="s">
        <v>142</v>
      </c>
      <c r="H116" s="7"/>
    </row>
    <row r="117">
      <c r="A117" s="101" t="s">
        <v>316</v>
      </c>
      <c r="B117" s="101" t="s">
        <v>116</v>
      </c>
      <c r="C117" s="101" t="s">
        <v>300</v>
      </c>
      <c r="D117" s="101" t="s">
        <v>219</v>
      </c>
      <c r="E117" s="101" t="s">
        <v>213</v>
      </c>
      <c r="F117" s="101" t="s">
        <v>253</v>
      </c>
      <c r="H117" s="7"/>
    </row>
    <row r="118">
      <c r="A118" s="101" t="s">
        <v>192</v>
      </c>
      <c r="B118" s="101" t="s">
        <v>145</v>
      </c>
      <c r="C118" s="101" t="s">
        <v>142</v>
      </c>
      <c r="D118" s="101" t="s">
        <v>145</v>
      </c>
      <c r="E118" s="101" t="s">
        <v>328</v>
      </c>
      <c r="F118" s="101" t="s">
        <v>310</v>
      </c>
      <c r="H118" s="7"/>
    </row>
    <row r="119">
      <c r="A119" s="101" t="s">
        <v>204</v>
      </c>
      <c r="B119" s="101" t="s">
        <v>397</v>
      </c>
      <c r="C119" s="101" t="s">
        <v>219</v>
      </c>
      <c r="D119" s="101" t="s">
        <v>222</v>
      </c>
      <c r="E119" s="101" t="s">
        <v>184</v>
      </c>
      <c r="F119" s="101" t="s">
        <v>145</v>
      </c>
      <c r="H119" s="7"/>
    </row>
    <row r="120">
      <c r="A120" s="101" t="s">
        <v>199</v>
      </c>
      <c r="B120" s="101" t="s">
        <v>234</v>
      </c>
      <c r="C120" s="101" t="s">
        <v>223</v>
      </c>
      <c r="D120" s="101" t="s">
        <v>86</v>
      </c>
      <c r="E120" s="101" t="s">
        <v>234</v>
      </c>
      <c r="F120" s="101" t="s">
        <v>223</v>
      </c>
      <c r="H120" s="7"/>
    </row>
    <row r="121">
      <c r="A121" s="7"/>
      <c r="H121" s="7"/>
    </row>
    <row r="122">
      <c r="A122" s="166">
        <v>43770.0</v>
      </c>
      <c r="H122" s="7"/>
    </row>
    <row r="123">
      <c r="A123" s="100" t="s">
        <v>1768</v>
      </c>
      <c r="B123" s="100" t="s">
        <v>1774</v>
      </c>
      <c r="C123" s="100" t="s">
        <v>1772</v>
      </c>
      <c r="D123" s="100" t="s">
        <v>1780</v>
      </c>
      <c r="E123" s="100" t="s">
        <v>1777</v>
      </c>
      <c r="F123" s="100" t="s">
        <v>1771</v>
      </c>
      <c r="H123" s="7"/>
    </row>
    <row r="124">
      <c r="A124" s="101" t="s">
        <v>107</v>
      </c>
      <c r="B124" s="101" t="s">
        <v>203</v>
      </c>
      <c r="C124" s="101" t="s">
        <v>278</v>
      </c>
      <c r="D124" s="101" t="s">
        <v>188</v>
      </c>
      <c r="E124" s="101" t="s">
        <v>201</v>
      </c>
      <c r="F124" s="101" t="s">
        <v>196</v>
      </c>
      <c r="H124" s="7"/>
    </row>
    <row r="125">
      <c r="A125" s="101" t="s">
        <v>204</v>
      </c>
      <c r="B125" s="101" t="s">
        <v>222</v>
      </c>
      <c r="C125" s="101" t="s">
        <v>130</v>
      </c>
      <c r="D125" s="101" t="s">
        <v>129</v>
      </c>
      <c r="E125" s="101" t="s">
        <v>222</v>
      </c>
      <c r="F125" s="101" t="s">
        <v>180</v>
      </c>
      <c r="H125" s="7"/>
    </row>
    <row r="126">
      <c r="A126" s="101" t="s">
        <v>184</v>
      </c>
      <c r="B126" s="101" t="s">
        <v>221</v>
      </c>
      <c r="C126" s="101" t="s">
        <v>200</v>
      </c>
      <c r="D126" s="101" t="s">
        <v>93</v>
      </c>
      <c r="E126" s="101" t="s">
        <v>221</v>
      </c>
      <c r="F126" s="101" t="s">
        <v>204</v>
      </c>
      <c r="H126" s="7"/>
    </row>
    <row r="127">
      <c r="A127" s="101" t="s">
        <v>100</v>
      </c>
      <c r="B127" s="101" t="s">
        <v>219</v>
      </c>
      <c r="C127" s="101" t="s">
        <v>186</v>
      </c>
      <c r="D127" s="101" t="s">
        <v>125</v>
      </c>
      <c r="E127" s="101" t="s">
        <v>125</v>
      </c>
      <c r="F127" s="101" t="s">
        <v>100</v>
      </c>
      <c r="H127" s="7"/>
    </row>
    <row r="128">
      <c r="A128" s="101" t="s">
        <v>214</v>
      </c>
      <c r="B128" s="101" t="s">
        <v>389</v>
      </c>
      <c r="C128" s="101" t="s">
        <v>396</v>
      </c>
      <c r="D128" s="101" t="s">
        <v>153</v>
      </c>
      <c r="E128" s="101" t="s">
        <v>282</v>
      </c>
      <c r="F128" s="101" t="s">
        <v>316</v>
      </c>
      <c r="H128" s="7"/>
    </row>
    <row r="129">
      <c r="A129" s="101" t="s">
        <v>288</v>
      </c>
      <c r="B129" s="101" t="s">
        <v>105</v>
      </c>
      <c r="C129" s="101" t="s">
        <v>389</v>
      </c>
      <c r="D129" s="101" t="s">
        <v>145</v>
      </c>
      <c r="E129" s="101" t="s">
        <v>93</v>
      </c>
      <c r="F129" s="101" t="s">
        <v>252</v>
      </c>
      <c r="H129" s="7"/>
    </row>
    <row r="130">
      <c r="A130" s="101" t="s">
        <v>142</v>
      </c>
      <c r="B130" s="101" t="s">
        <v>186</v>
      </c>
      <c r="C130" s="101" t="s">
        <v>132</v>
      </c>
      <c r="D130" s="101" t="s">
        <v>219</v>
      </c>
      <c r="E130" s="101" t="s">
        <v>204</v>
      </c>
      <c r="F130" s="101" t="s">
        <v>229</v>
      </c>
      <c r="H130" s="7"/>
    </row>
    <row r="131">
      <c r="A131" s="101" t="s">
        <v>180</v>
      </c>
      <c r="B131" s="101" t="s">
        <v>145</v>
      </c>
      <c r="C131" s="101" t="s">
        <v>184</v>
      </c>
      <c r="D131" s="101" t="s">
        <v>305</v>
      </c>
      <c r="E131" s="101" t="s">
        <v>100</v>
      </c>
      <c r="F131" s="101" t="s">
        <v>113</v>
      </c>
      <c r="H131" s="7"/>
    </row>
    <row r="132">
      <c r="A132" s="7"/>
      <c r="H132" s="7"/>
    </row>
    <row r="133">
      <c r="A133" s="166">
        <v>43739.0</v>
      </c>
      <c r="H133" s="7"/>
    </row>
    <row r="134">
      <c r="A134" s="100" t="s">
        <v>1762</v>
      </c>
      <c r="B134" s="100" t="s">
        <v>1779</v>
      </c>
      <c r="C134" s="100" t="s">
        <v>1769</v>
      </c>
      <c r="D134" s="100" t="s">
        <v>1770</v>
      </c>
      <c r="E134" s="100" t="s">
        <v>1776</v>
      </c>
      <c r="F134" s="100" t="s">
        <v>1760</v>
      </c>
      <c r="H134" s="7"/>
    </row>
    <row r="135">
      <c r="A135" s="101" t="s">
        <v>210</v>
      </c>
      <c r="B135" s="101" t="s">
        <v>276</v>
      </c>
      <c r="C135" s="101" t="s">
        <v>214</v>
      </c>
      <c r="D135" s="101" t="s">
        <v>178</v>
      </c>
      <c r="E135" s="101" t="s">
        <v>311</v>
      </c>
      <c r="F135" s="101" t="s">
        <v>274</v>
      </c>
      <c r="H135" s="7"/>
    </row>
    <row r="136">
      <c r="A136" s="101" t="s">
        <v>328</v>
      </c>
      <c r="B136" s="101" t="s">
        <v>328</v>
      </c>
      <c r="C136" s="101" t="s">
        <v>229</v>
      </c>
      <c r="D136" s="101" t="s">
        <v>203</v>
      </c>
      <c r="E136" s="101" t="s">
        <v>398</v>
      </c>
      <c r="F136" s="101" t="s">
        <v>389</v>
      </c>
      <c r="H136" s="7"/>
    </row>
    <row r="137">
      <c r="A137" s="101" t="s">
        <v>200</v>
      </c>
      <c r="B137" s="101" t="s">
        <v>389</v>
      </c>
      <c r="C137" s="101" t="s">
        <v>147</v>
      </c>
      <c r="D137" s="101" t="s">
        <v>186</v>
      </c>
      <c r="E137" s="101" t="s">
        <v>226</v>
      </c>
      <c r="F137" s="101" t="s">
        <v>388</v>
      </c>
      <c r="H137" s="7"/>
    </row>
    <row r="138">
      <c r="A138" s="101" t="s">
        <v>186</v>
      </c>
      <c r="B138" s="101" t="s">
        <v>105</v>
      </c>
      <c r="C138" s="101" t="s">
        <v>232</v>
      </c>
      <c r="D138" s="101" t="s">
        <v>125</v>
      </c>
      <c r="E138" s="101" t="s">
        <v>130</v>
      </c>
      <c r="F138" s="101" t="s">
        <v>130</v>
      </c>
      <c r="H138" s="7"/>
    </row>
    <row r="139">
      <c r="A139" s="101" t="s">
        <v>139</v>
      </c>
      <c r="B139" s="101" t="s">
        <v>219</v>
      </c>
      <c r="C139" s="101" t="s">
        <v>316</v>
      </c>
      <c r="D139" s="101" t="s">
        <v>180</v>
      </c>
      <c r="E139" s="101" t="s">
        <v>116</v>
      </c>
      <c r="F139" s="101" t="s">
        <v>142</v>
      </c>
      <c r="H139" s="7"/>
    </row>
    <row r="140">
      <c r="A140" s="101" t="s">
        <v>105</v>
      </c>
      <c r="B140" s="101" t="s">
        <v>145</v>
      </c>
      <c r="C140" s="101" t="s">
        <v>192</v>
      </c>
      <c r="D140" s="101" t="s">
        <v>401</v>
      </c>
      <c r="E140" s="101" t="s">
        <v>145</v>
      </c>
      <c r="F140" s="101" t="s">
        <v>184</v>
      </c>
      <c r="H140" s="7"/>
    </row>
    <row r="141">
      <c r="A141" s="101" t="s">
        <v>145</v>
      </c>
      <c r="B141" s="101" t="s">
        <v>222</v>
      </c>
      <c r="C141" s="101" t="s">
        <v>204</v>
      </c>
      <c r="D141" s="101" t="s">
        <v>256</v>
      </c>
      <c r="E141" s="101" t="s">
        <v>397</v>
      </c>
      <c r="F141" s="101" t="s">
        <v>397</v>
      </c>
      <c r="H141" s="7"/>
    </row>
    <row r="142">
      <c r="A142" s="101" t="s">
        <v>219</v>
      </c>
      <c r="B142" s="101" t="s">
        <v>86</v>
      </c>
      <c r="C142" s="101" t="s">
        <v>199</v>
      </c>
      <c r="D142" s="101" t="s">
        <v>219</v>
      </c>
      <c r="E142" s="101" t="s">
        <v>234</v>
      </c>
      <c r="F142" s="101" t="s">
        <v>223</v>
      </c>
      <c r="H142" s="7"/>
    </row>
    <row r="143">
      <c r="A143" s="7"/>
      <c r="H143" s="7"/>
    </row>
    <row r="144">
      <c r="A144" s="166">
        <v>43709.0</v>
      </c>
      <c r="H144" s="7"/>
    </row>
    <row r="145">
      <c r="A145" s="100" t="s">
        <v>1762</v>
      </c>
      <c r="B145" s="100" t="s">
        <v>1765</v>
      </c>
      <c r="C145" s="100" t="s">
        <v>1772</v>
      </c>
      <c r="D145" s="100" t="s">
        <v>1761</v>
      </c>
      <c r="E145" s="100" t="s">
        <v>1773</v>
      </c>
      <c r="F145" s="100" t="s">
        <v>1774</v>
      </c>
      <c r="H145" s="7"/>
    </row>
    <row r="146">
      <c r="A146" s="101" t="s">
        <v>210</v>
      </c>
      <c r="B146" s="101" t="s">
        <v>215</v>
      </c>
      <c r="C146" s="101" t="s">
        <v>278</v>
      </c>
      <c r="D146" s="101" t="s">
        <v>236</v>
      </c>
      <c r="E146" s="101" t="s">
        <v>188</v>
      </c>
      <c r="F146" s="101" t="s">
        <v>203</v>
      </c>
      <c r="H146" s="7"/>
    </row>
    <row r="147">
      <c r="A147" s="101" t="s">
        <v>328</v>
      </c>
      <c r="B147" s="101" t="s">
        <v>238</v>
      </c>
      <c r="C147" s="101" t="s">
        <v>130</v>
      </c>
      <c r="D147" s="101" t="s">
        <v>229</v>
      </c>
      <c r="E147" s="101" t="s">
        <v>129</v>
      </c>
      <c r="F147" s="101" t="s">
        <v>222</v>
      </c>
      <c r="H147" s="7"/>
    </row>
    <row r="148">
      <c r="A148" s="101" t="s">
        <v>200</v>
      </c>
      <c r="B148" s="101" t="s">
        <v>229</v>
      </c>
      <c r="C148" s="101" t="s">
        <v>200</v>
      </c>
      <c r="D148" s="101" t="s">
        <v>113</v>
      </c>
      <c r="E148" s="101" t="s">
        <v>221</v>
      </c>
      <c r="F148" s="101" t="s">
        <v>221</v>
      </c>
      <c r="H148" s="7"/>
    </row>
    <row r="149">
      <c r="A149" s="101" t="s">
        <v>186</v>
      </c>
      <c r="B149" s="101" t="s">
        <v>113</v>
      </c>
      <c r="C149" s="101" t="s">
        <v>186</v>
      </c>
      <c r="D149" s="101" t="s">
        <v>186</v>
      </c>
      <c r="E149" s="101" t="s">
        <v>115</v>
      </c>
      <c r="F149" s="101" t="s">
        <v>219</v>
      </c>
      <c r="H149" s="7"/>
    </row>
    <row r="150">
      <c r="A150" s="101" t="s">
        <v>139</v>
      </c>
      <c r="B150" s="101" t="s">
        <v>303</v>
      </c>
      <c r="C150" s="101" t="s">
        <v>396</v>
      </c>
      <c r="D150" s="101" t="s">
        <v>300</v>
      </c>
      <c r="E150" s="101" t="s">
        <v>370</v>
      </c>
      <c r="F150" s="101" t="s">
        <v>389</v>
      </c>
      <c r="H150" s="7"/>
    </row>
    <row r="151">
      <c r="A151" s="101" t="s">
        <v>105</v>
      </c>
      <c r="B151" s="101" t="s">
        <v>180</v>
      </c>
      <c r="C151" s="101" t="s">
        <v>389</v>
      </c>
      <c r="D151" s="101" t="s">
        <v>180</v>
      </c>
      <c r="E151" s="101" t="s">
        <v>204</v>
      </c>
      <c r="F151" s="101" t="s">
        <v>105</v>
      </c>
      <c r="H151" s="7"/>
    </row>
    <row r="152">
      <c r="A152" s="101" t="s">
        <v>145</v>
      </c>
      <c r="B152" s="101" t="s">
        <v>186</v>
      </c>
      <c r="C152" s="101" t="s">
        <v>132</v>
      </c>
      <c r="D152" s="101" t="s">
        <v>252</v>
      </c>
      <c r="E152" s="101" t="s">
        <v>397</v>
      </c>
      <c r="F152" s="101" t="s">
        <v>186</v>
      </c>
      <c r="H152" s="7"/>
    </row>
    <row r="153">
      <c r="A153" s="101" t="s">
        <v>219</v>
      </c>
      <c r="B153" s="101" t="s">
        <v>219</v>
      </c>
      <c r="C153" s="101" t="s">
        <v>184</v>
      </c>
      <c r="D153" s="101" t="s">
        <v>184</v>
      </c>
      <c r="E153" s="101" t="s">
        <v>199</v>
      </c>
      <c r="F153" s="101" t="s">
        <v>145</v>
      </c>
      <c r="H153" s="7"/>
    </row>
    <row r="154">
      <c r="A154" s="7"/>
      <c r="H154" s="7"/>
    </row>
    <row r="155">
      <c r="A155" s="166">
        <v>43678.0</v>
      </c>
      <c r="H155" s="7"/>
    </row>
    <row r="156">
      <c r="A156" s="100" t="s">
        <v>1781</v>
      </c>
      <c r="B156" s="100" t="s">
        <v>1779</v>
      </c>
      <c r="C156" s="100" t="s">
        <v>1768</v>
      </c>
      <c r="D156" s="100" t="s">
        <v>1774</v>
      </c>
      <c r="E156" s="100" t="s">
        <v>1776</v>
      </c>
      <c r="F156" s="100" t="s">
        <v>1760</v>
      </c>
      <c r="H156" s="7"/>
    </row>
    <row r="157">
      <c r="A157" s="101" t="s">
        <v>188</v>
      </c>
      <c r="B157" s="101" t="s">
        <v>276</v>
      </c>
      <c r="C157" s="101" t="s">
        <v>107</v>
      </c>
      <c r="D157" s="101" t="s">
        <v>203</v>
      </c>
      <c r="E157" s="101" t="s">
        <v>311</v>
      </c>
      <c r="F157" s="101" t="s">
        <v>274</v>
      </c>
      <c r="H157" s="7"/>
    </row>
    <row r="158">
      <c r="A158" s="101" t="s">
        <v>129</v>
      </c>
      <c r="B158" s="101" t="s">
        <v>328</v>
      </c>
      <c r="C158" s="101" t="s">
        <v>204</v>
      </c>
      <c r="D158" s="101" t="s">
        <v>222</v>
      </c>
      <c r="E158" s="101" t="s">
        <v>398</v>
      </c>
      <c r="F158" s="101" t="s">
        <v>389</v>
      </c>
      <c r="H158" s="7"/>
    </row>
    <row r="159">
      <c r="A159" s="101" t="s">
        <v>93</v>
      </c>
      <c r="B159" s="101" t="s">
        <v>389</v>
      </c>
      <c r="C159" s="101" t="s">
        <v>184</v>
      </c>
      <c r="D159" s="101" t="s">
        <v>221</v>
      </c>
      <c r="E159" s="101" t="s">
        <v>226</v>
      </c>
      <c r="F159" s="101" t="s">
        <v>388</v>
      </c>
      <c r="H159" s="7"/>
    </row>
    <row r="160">
      <c r="A160" s="101" t="s">
        <v>125</v>
      </c>
      <c r="B160" s="101" t="s">
        <v>105</v>
      </c>
      <c r="C160" s="101" t="s">
        <v>100</v>
      </c>
      <c r="D160" s="101" t="s">
        <v>219</v>
      </c>
      <c r="E160" s="101" t="s">
        <v>130</v>
      </c>
      <c r="F160" s="101" t="s">
        <v>130</v>
      </c>
      <c r="H160" s="7"/>
    </row>
    <row r="161">
      <c r="A161" s="101" t="s">
        <v>153</v>
      </c>
      <c r="B161" s="101" t="s">
        <v>219</v>
      </c>
      <c r="C161" s="101" t="s">
        <v>214</v>
      </c>
      <c r="D161" s="101" t="s">
        <v>389</v>
      </c>
      <c r="E161" s="101" t="s">
        <v>116</v>
      </c>
      <c r="F161" s="101" t="s">
        <v>142</v>
      </c>
      <c r="H161" s="7"/>
    </row>
    <row r="162">
      <c r="A162" s="101" t="s">
        <v>145</v>
      </c>
      <c r="B162" s="101" t="s">
        <v>145</v>
      </c>
      <c r="C162" s="101" t="s">
        <v>288</v>
      </c>
      <c r="D162" s="101" t="s">
        <v>105</v>
      </c>
      <c r="E162" s="101" t="s">
        <v>145</v>
      </c>
      <c r="F162" s="101" t="s">
        <v>184</v>
      </c>
      <c r="H162" s="7"/>
    </row>
    <row r="163">
      <c r="A163" s="101" t="s">
        <v>219</v>
      </c>
      <c r="B163" s="101" t="s">
        <v>222</v>
      </c>
      <c r="C163" s="101" t="s">
        <v>142</v>
      </c>
      <c r="D163" s="101" t="s">
        <v>186</v>
      </c>
      <c r="E163" s="101" t="s">
        <v>397</v>
      </c>
      <c r="F163" s="101" t="s">
        <v>397</v>
      </c>
      <c r="H163" s="7"/>
    </row>
    <row r="164">
      <c r="A164" s="101" t="s">
        <v>305</v>
      </c>
      <c r="B164" s="101" t="s">
        <v>86</v>
      </c>
      <c r="C164" s="101" t="s">
        <v>180</v>
      </c>
      <c r="D164" s="101" t="s">
        <v>145</v>
      </c>
      <c r="E164" s="101" t="s">
        <v>234</v>
      </c>
      <c r="F164" s="101" t="s">
        <v>223</v>
      </c>
      <c r="H164" s="7"/>
    </row>
    <row r="165">
      <c r="A165" s="7"/>
      <c r="H165" s="7"/>
    </row>
    <row r="166">
      <c r="A166" s="166">
        <v>43647.0</v>
      </c>
      <c r="H166" s="127"/>
    </row>
    <row r="167">
      <c r="A167" s="100" t="s">
        <v>1762</v>
      </c>
      <c r="B167" s="100" t="s">
        <v>1765</v>
      </c>
      <c r="C167" s="100" t="s">
        <v>1771</v>
      </c>
      <c r="D167" s="100" t="s">
        <v>1761</v>
      </c>
      <c r="E167" s="100" t="s">
        <v>1782</v>
      </c>
      <c r="F167" s="100" t="s">
        <v>1763</v>
      </c>
      <c r="H167" s="127"/>
    </row>
    <row r="168">
      <c r="A168" s="101" t="s">
        <v>210</v>
      </c>
      <c r="B168" s="101" t="s">
        <v>215</v>
      </c>
      <c r="C168" s="101" t="s">
        <v>196</v>
      </c>
      <c r="D168" s="101" t="s">
        <v>236</v>
      </c>
      <c r="E168" s="101" t="s">
        <v>201</v>
      </c>
      <c r="F168" s="101" t="s">
        <v>278</v>
      </c>
      <c r="H168" s="127"/>
    </row>
    <row r="169">
      <c r="A169" s="101" t="s">
        <v>328</v>
      </c>
      <c r="B169" s="101" t="s">
        <v>238</v>
      </c>
      <c r="C169" s="101" t="s">
        <v>180</v>
      </c>
      <c r="D169" s="101" t="s">
        <v>229</v>
      </c>
      <c r="E169" s="101" t="s">
        <v>222</v>
      </c>
      <c r="F169" s="101" t="s">
        <v>203</v>
      </c>
      <c r="H169" s="127"/>
    </row>
    <row r="170">
      <c r="A170" s="101" t="s">
        <v>200</v>
      </c>
      <c r="B170" s="101" t="s">
        <v>229</v>
      </c>
      <c r="C170" s="101" t="s">
        <v>204</v>
      </c>
      <c r="D170" s="101" t="s">
        <v>113</v>
      </c>
      <c r="E170" s="101" t="s">
        <v>221</v>
      </c>
      <c r="F170" s="101" t="s">
        <v>142</v>
      </c>
      <c r="H170" s="127"/>
    </row>
    <row r="171">
      <c r="A171" s="101" t="s">
        <v>186</v>
      </c>
      <c r="B171" s="101" t="s">
        <v>113</v>
      </c>
      <c r="C171" s="101" t="s">
        <v>100</v>
      </c>
      <c r="D171" s="101" t="s">
        <v>186</v>
      </c>
      <c r="E171" s="101" t="s">
        <v>125</v>
      </c>
      <c r="F171" s="101" t="s">
        <v>86</v>
      </c>
      <c r="H171" s="127"/>
    </row>
    <row r="172">
      <c r="A172" s="101" t="s">
        <v>139</v>
      </c>
      <c r="B172" s="101" t="s">
        <v>303</v>
      </c>
      <c r="C172" s="101" t="s">
        <v>316</v>
      </c>
      <c r="D172" s="101" t="s">
        <v>300</v>
      </c>
      <c r="E172" s="101" t="s">
        <v>282</v>
      </c>
      <c r="F172" s="101" t="s">
        <v>139</v>
      </c>
      <c r="H172" s="127"/>
    </row>
    <row r="173">
      <c r="A173" s="101" t="s">
        <v>105</v>
      </c>
      <c r="B173" s="101" t="s">
        <v>180</v>
      </c>
      <c r="C173" s="101" t="s">
        <v>252</v>
      </c>
      <c r="D173" s="101" t="s">
        <v>180</v>
      </c>
      <c r="E173" s="101" t="s">
        <v>93</v>
      </c>
      <c r="F173" s="101" t="s">
        <v>184</v>
      </c>
      <c r="H173" s="127"/>
    </row>
    <row r="174">
      <c r="A174" s="101" t="s">
        <v>145</v>
      </c>
      <c r="B174" s="101" t="s">
        <v>186</v>
      </c>
      <c r="C174" s="101" t="s">
        <v>229</v>
      </c>
      <c r="D174" s="101" t="s">
        <v>252</v>
      </c>
      <c r="E174" s="101" t="s">
        <v>204</v>
      </c>
      <c r="F174" s="101" t="s">
        <v>100</v>
      </c>
      <c r="H174" s="127"/>
    </row>
    <row r="175">
      <c r="A175" s="101" t="s">
        <v>219</v>
      </c>
      <c r="B175" s="101" t="s">
        <v>219</v>
      </c>
      <c r="C175" s="101" t="s">
        <v>113</v>
      </c>
      <c r="D175" s="101" t="s">
        <v>184</v>
      </c>
      <c r="E175" s="101" t="s">
        <v>100</v>
      </c>
      <c r="F175" s="101" t="s">
        <v>126</v>
      </c>
      <c r="H175" s="127"/>
    </row>
    <row r="176">
      <c r="A176" s="7"/>
      <c r="H176" s="127"/>
    </row>
    <row r="177">
      <c r="A177" s="166">
        <v>43617.0</v>
      </c>
      <c r="H177" s="127"/>
    </row>
    <row r="178">
      <c r="A178" s="100" t="s">
        <v>1783</v>
      </c>
      <c r="B178" s="100" t="s">
        <v>1760</v>
      </c>
      <c r="C178" s="100" t="s">
        <v>1764</v>
      </c>
      <c r="D178" s="100" t="s">
        <v>1767</v>
      </c>
      <c r="E178" s="100" t="s">
        <v>1775</v>
      </c>
      <c r="F178" s="100" t="s">
        <v>1784</v>
      </c>
      <c r="H178" s="127"/>
    </row>
    <row r="179">
      <c r="A179" s="101" t="s">
        <v>107</v>
      </c>
      <c r="B179" s="101" t="s">
        <v>274</v>
      </c>
      <c r="C179" s="101" t="s">
        <v>179</v>
      </c>
      <c r="D179" s="101" t="s">
        <v>192</v>
      </c>
      <c r="E179" s="101" t="s">
        <v>209</v>
      </c>
      <c r="F179" s="101" t="s">
        <v>188</v>
      </c>
      <c r="H179" s="127"/>
    </row>
    <row r="180">
      <c r="A180" s="101" t="s">
        <v>144</v>
      </c>
      <c r="B180" s="101" t="s">
        <v>389</v>
      </c>
      <c r="C180" s="101" t="s">
        <v>86</v>
      </c>
      <c r="D180" s="101" t="s">
        <v>229</v>
      </c>
      <c r="E180" s="101" t="s">
        <v>289</v>
      </c>
      <c r="F180" s="101" t="s">
        <v>129</v>
      </c>
      <c r="H180" s="127"/>
    </row>
    <row r="181">
      <c r="A181" s="101" t="s">
        <v>252</v>
      </c>
      <c r="B181" s="101" t="s">
        <v>388</v>
      </c>
      <c r="C181" s="101" t="s">
        <v>144</v>
      </c>
      <c r="D181" s="101" t="s">
        <v>147</v>
      </c>
      <c r="E181" s="101" t="s">
        <v>130</v>
      </c>
      <c r="F181" s="101" t="s">
        <v>221</v>
      </c>
      <c r="H181" s="127"/>
    </row>
    <row r="182">
      <c r="A182" s="101" t="s">
        <v>229</v>
      </c>
      <c r="B182" s="101" t="s">
        <v>130</v>
      </c>
      <c r="C182" s="101" t="s">
        <v>289</v>
      </c>
      <c r="D182" s="101" t="s">
        <v>97</v>
      </c>
      <c r="E182" s="101" t="s">
        <v>142</v>
      </c>
      <c r="F182" s="101" t="s">
        <v>115</v>
      </c>
      <c r="H182" s="127"/>
    </row>
    <row r="183">
      <c r="A183" s="101" t="s">
        <v>212</v>
      </c>
      <c r="B183" s="101" t="s">
        <v>142</v>
      </c>
      <c r="C183" s="101" t="s">
        <v>213</v>
      </c>
      <c r="D183" s="101" t="s">
        <v>221</v>
      </c>
      <c r="E183" s="101" t="s">
        <v>253</v>
      </c>
      <c r="F183" s="101" t="s">
        <v>370</v>
      </c>
      <c r="H183" s="127"/>
    </row>
    <row r="184">
      <c r="A184" s="101" t="s">
        <v>320</v>
      </c>
      <c r="B184" s="101" t="s">
        <v>184</v>
      </c>
      <c r="C184" s="101" t="s">
        <v>328</v>
      </c>
      <c r="D184" s="101" t="s">
        <v>204</v>
      </c>
      <c r="E184" s="101" t="s">
        <v>310</v>
      </c>
      <c r="F184" s="101" t="s">
        <v>204</v>
      </c>
      <c r="H184" s="127"/>
    </row>
    <row r="185">
      <c r="A185" s="101" t="s">
        <v>186</v>
      </c>
      <c r="B185" s="101" t="s">
        <v>397</v>
      </c>
      <c r="C185" s="101" t="s">
        <v>184</v>
      </c>
      <c r="D185" s="101" t="s">
        <v>153</v>
      </c>
      <c r="E185" s="101" t="s">
        <v>145</v>
      </c>
      <c r="F185" s="101" t="s">
        <v>397</v>
      </c>
      <c r="H185" s="127"/>
    </row>
    <row r="186">
      <c r="A186" s="101" t="s">
        <v>184</v>
      </c>
      <c r="B186" s="101" t="s">
        <v>223</v>
      </c>
      <c r="C186" s="101" t="s">
        <v>234</v>
      </c>
      <c r="D186" s="101" t="s">
        <v>199</v>
      </c>
      <c r="E186" s="101" t="s">
        <v>223</v>
      </c>
      <c r="F186" s="101" t="s">
        <v>199</v>
      </c>
      <c r="H186" s="127"/>
    </row>
    <row r="187">
      <c r="A187" s="7"/>
      <c r="H187" s="127"/>
    </row>
    <row r="188">
      <c r="A188" s="99" t="s">
        <v>1785</v>
      </c>
      <c r="H188" s="99" t="s">
        <v>1786</v>
      </c>
    </row>
    <row r="189">
      <c r="A189" s="100" t="s">
        <v>1768</v>
      </c>
      <c r="B189" s="100" t="s">
        <v>1760</v>
      </c>
      <c r="C189" s="100" t="s">
        <v>1764</v>
      </c>
      <c r="D189" s="100" t="s">
        <v>1763</v>
      </c>
      <c r="E189" s="100" t="s">
        <v>1787</v>
      </c>
      <c r="F189" s="100" t="s">
        <v>1775</v>
      </c>
      <c r="H189" s="100" t="s">
        <v>1699</v>
      </c>
      <c r="I189" s="100" t="s">
        <v>1788</v>
      </c>
    </row>
    <row r="190">
      <c r="A190" s="101" t="s">
        <v>107</v>
      </c>
      <c r="B190" s="101" t="s">
        <v>274</v>
      </c>
      <c r="C190" s="101" t="s">
        <v>179</v>
      </c>
      <c r="D190" s="101" t="s">
        <v>278</v>
      </c>
      <c r="E190" s="101" t="s">
        <v>192</v>
      </c>
      <c r="F190" s="101" t="s">
        <v>209</v>
      </c>
      <c r="H190" s="101" t="s">
        <v>1768</v>
      </c>
      <c r="I190" s="101" t="s">
        <v>85</v>
      </c>
    </row>
    <row r="191">
      <c r="A191" s="101" t="s">
        <v>214</v>
      </c>
      <c r="B191" s="101" t="s">
        <v>389</v>
      </c>
      <c r="C191" s="101" t="s">
        <v>86</v>
      </c>
      <c r="D191" s="101" t="s">
        <v>203</v>
      </c>
      <c r="E191" s="101" t="s">
        <v>229</v>
      </c>
      <c r="F191" s="101" t="s">
        <v>289</v>
      </c>
      <c r="H191" s="101" t="s">
        <v>1760</v>
      </c>
      <c r="I191" s="101" t="s">
        <v>85</v>
      </c>
    </row>
    <row r="192">
      <c r="A192" s="101" t="s">
        <v>256</v>
      </c>
      <c r="B192" s="101" t="s">
        <v>388</v>
      </c>
      <c r="C192" s="101" t="s">
        <v>144</v>
      </c>
      <c r="D192" s="101" t="s">
        <v>142</v>
      </c>
      <c r="E192" s="101" t="s">
        <v>147</v>
      </c>
      <c r="F192" s="101" t="s">
        <v>313</v>
      </c>
      <c r="H192" s="101" t="s">
        <v>1789</v>
      </c>
      <c r="I192" s="101" t="s">
        <v>1776</v>
      </c>
    </row>
    <row r="193">
      <c r="A193" s="101" t="s">
        <v>142</v>
      </c>
      <c r="B193" s="101" t="s">
        <v>130</v>
      </c>
      <c r="C193" s="101" t="s">
        <v>232</v>
      </c>
      <c r="D193" s="101" t="s">
        <v>86</v>
      </c>
      <c r="E193" s="101" t="s">
        <v>129</v>
      </c>
      <c r="F193" s="101" t="s">
        <v>142</v>
      </c>
      <c r="H193" s="101" t="s">
        <v>1763</v>
      </c>
      <c r="I193" s="101" t="s">
        <v>85</v>
      </c>
    </row>
    <row r="194">
      <c r="A194" s="101" t="s">
        <v>180</v>
      </c>
      <c r="B194" s="101" t="s">
        <v>115</v>
      </c>
      <c r="C194" s="101" t="s">
        <v>327</v>
      </c>
      <c r="D194" s="101" t="s">
        <v>310</v>
      </c>
      <c r="E194" s="101" t="s">
        <v>221</v>
      </c>
      <c r="F194" s="101" t="s">
        <v>253</v>
      </c>
      <c r="H194" s="101" t="s">
        <v>1787</v>
      </c>
      <c r="I194" s="101" t="s">
        <v>1790</v>
      </c>
    </row>
    <row r="195">
      <c r="A195" s="101" t="s">
        <v>113</v>
      </c>
      <c r="B195" s="101" t="s">
        <v>320</v>
      </c>
      <c r="C195" s="101" t="s">
        <v>221</v>
      </c>
      <c r="D195" s="101" t="s">
        <v>82</v>
      </c>
      <c r="E195" s="101" t="s">
        <v>204</v>
      </c>
      <c r="F195" s="101" t="s">
        <v>310</v>
      </c>
      <c r="H195" s="101" t="s">
        <v>1775</v>
      </c>
      <c r="I195" s="101" t="s">
        <v>1791</v>
      </c>
    </row>
    <row r="196">
      <c r="A196" s="101" t="s">
        <v>184</v>
      </c>
      <c r="B196" s="101" t="s">
        <v>184</v>
      </c>
      <c r="C196" s="101" t="s">
        <v>184</v>
      </c>
      <c r="D196" s="101" t="s">
        <v>223</v>
      </c>
      <c r="E196" s="101" t="s">
        <v>153</v>
      </c>
      <c r="F196" s="101" t="s">
        <v>145</v>
      </c>
      <c r="H196" s="101" t="s">
        <v>1778</v>
      </c>
      <c r="I196" s="101" t="s">
        <v>85</v>
      </c>
    </row>
    <row r="197">
      <c r="A197" s="101" t="s">
        <v>234</v>
      </c>
      <c r="B197" s="101" t="s">
        <v>223</v>
      </c>
      <c r="C197" s="101" t="s">
        <v>234</v>
      </c>
      <c r="D197" s="101" t="s">
        <v>126</v>
      </c>
      <c r="E197" s="101" t="s">
        <v>199</v>
      </c>
      <c r="F197" s="101" t="s">
        <v>223</v>
      </c>
      <c r="H197" s="101" t="s">
        <v>1791</v>
      </c>
      <c r="I197" s="101" t="s">
        <v>1760</v>
      </c>
    </row>
    <row r="198">
      <c r="A198" s="100" t="s">
        <v>1778</v>
      </c>
      <c r="B198" s="100" t="s">
        <v>1791</v>
      </c>
      <c r="C198" s="100" t="s">
        <v>1776</v>
      </c>
      <c r="D198" s="100" t="s">
        <v>1790</v>
      </c>
      <c r="E198" s="100" t="s">
        <v>1792</v>
      </c>
      <c r="F198" s="100" t="s">
        <v>1793</v>
      </c>
      <c r="H198" s="101" t="s">
        <v>1776</v>
      </c>
      <c r="I198" s="101" t="s">
        <v>1768</v>
      </c>
    </row>
    <row r="199">
      <c r="A199" s="101" t="s">
        <v>212</v>
      </c>
      <c r="B199" s="101" t="s">
        <v>201</v>
      </c>
      <c r="C199" s="101" t="s">
        <v>311</v>
      </c>
      <c r="D199" s="101" t="s">
        <v>236</v>
      </c>
      <c r="E199" s="101" t="s">
        <v>196</v>
      </c>
      <c r="F199" s="101" t="s">
        <v>215</v>
      </c>
      <c r="H199" s="101" t="s">
        <v>1790</v>
      </c>
      <c r="I199" s="101" t="s">
        <v>85</v>
      </c>
    </row>
    <row r="200">
      <c r="A200" s="101" t="s">
        <v>252</v>
      </c>
      <c r="B200" s="101" t="s">
        <v>97</v>
      </c>
      <c r="C200" s="101" t="s">
        <v>398</v>
      </c>
      <c r="D200" s="101" t="s">
        <v>229</v>
      </c>
      <c r="E200" s="101" t="s">
        <v>188</v>
      </c>
      <c r="F200" s="101" t="s">
        <v>238</v>
      </c>
      <c r="H200" s="101" t="s">
        <v>1792</v>
      </c>
      <c r="I200" s="101" t="s">
        <v>85</v>
      </c>
    </row>
    <row r="201">
      <c r="A201" s="101" t="s">
        <v>229</v>
      </c>
      <c r="B201" s="101" t="s">
        <v>142</v>
      </c>
      <c r="C201" s="101" t="s">
        <v>226</v>
      </c>
      <c r="D201" s="101" t="s">
        <v>113</v>
      </c>
      <c r="E201" s="101" t="s">
        <v>184</v>
      </c>
      <c r="F201" s="101" t="s">
        <v>285</v>
      </c>
      <c r="H201" s="101" t="s">
        <v>1793</v>
      </c>
      <c r="I201" s="101" t="s">
        <v>1776</v>
      </c>
    </row>
    <row r="202">
      <c r="A202" s="101" t="s">
        <v>328</v>
      </c>
      <c r="B202" s="101" t="s">
        <v>125</v>
      </c>
      <c r="C202" s="101" t="s">
        <v>130</v>
      </c>
      <c r="D202" s="101" t="s">
        <v>186</v>
      </c>
      <c r="E202" s="101" t="s">
        <v>204</v>
      </c>
      <c r="F202" s="101" t="s">
        <v>113</v>
      </c>
    </row>
    <row r="203">
      <c r="A203" s="101" t="s">
        <v>129</v>
      </c>
      <c r="B203" s="101" t="s">
        <v>226</v>
      </c>
      <c r="C203" s="101" t="s">
        <v>126</v>
      </c>
      <c r="D203" s="101" t="s">
        <v>300</v>
      </c>
      <c r="E203" s="101" t="s">
        <v>316</v>
      </c>
      <c r="F203" s="101" t="s">
        <v>210</v>
      </c>
    </row>
    <row r="204">
      <c r="A204" s="101" t="s">
        <v>180</v>
      </c>
      <c r="B204" s="101" t="s">
        <v>204</v>
      </c>
      <c r="C204" s="101" t="s">
        <v>145</v>
      </c>
      <c r="D204" s="101" t="s">
        <v>180</v>
      </c>
      <c r="E204" s="101" t="s">
        <v>186</v>
      </c>
      <c r="F204" s="101" t="s">
        <v>186</v>
      </c>
    </row>
    <row r="205">
      <c r="A205" s="101" t="s">
        <v>219</v>
      </c>
      <c r="B205" s="101" t="s">
        <v>397</v>
      </c>
      <c r="C205" s="101" t="s">
        <v>397</v>
      </c>
      <c r="D205" s="101" t="s">
        <v>252</v>
      </c>
      <c r="E205" s="101" t="s">
        <v>229</v>
      </c>
      <c r="F205" s="101" t="s">
        <v>82</v>
      </c>
    </row>
    <row r="206">
      <c r="A206" s="101" t="s">
        <v>320</v>
      </c>
      <c r="B206" s="101" t="s">
        <v>199</v>
      </c>
      <c r="C206" s="101" t="s">
        <v>234</v>
      </c>
      <c r="D206" s="101" t="s">
        <v>184</v>
      </c>
      <c r="E206" s="101" t="s">
        <v>113</v>
      </c>
      <c r="F206" s="101" t="s">
        <v>100</v>
      </c>
    </row>
    <row r="208">
      <c r="A208" s="168" t="s">
        <v>1794</v>
      </c>
      <c r="B208" s="169"/>
      <c r="C208" s="169"/>
      <c r="D208" s="169"/>
    </row>
    <row r="209">
      <c r="A209" s="170" t="s">
        <v>1795</v>
      </c>
      <c r="B209" s="171"/>
      <c r="C209" s="171"/>
      <c r="D209" s="171"/>
    </row>
    <row r="210">
      <c r="A210" s="172" t="s">
        <v>1796</v>
      </c>
      <c r="B210" s="173" t="s">
        <v>1797</v>
      </c>
      <c r="C210" s="173" t="s">
        <v>1798</v>
      </c>
      <c r="D210" s="173" t="s">
        <v>1799</v>
      </c>
      <c r="E210" s="174" t="s">
        <v>1800</v>
      </c>
      <c r="F210" s="174" t="s">
        <v>1801</v>
      </c>
      <c r="G210" s="174" t="s">
        <v>1802</v>
      </c>
      <c r="H210" s="174" t="s">
        <v>1803</v>
      </c>
    </row>
    <row r="211">
      <c r="A211" s="175" t="s">
        <v>189</v>
      </c>
      <c r="B211" s="176" t="s">
        <v>145</v>
      </c>
      <c r="C211" s="176" t="s">
        <v>130</v>
      </c>
      <c r="D211" s="176" t="s">
        <v>222</v>
      </c>
      <c r="E211" s="177" t="s">
        <v>145</v>
      </c>
      <c r="F211" s="177" t="s">
        <v>311</v>
      </c>
      <c r="G211" s="177" t="s">
        <v>401</v>
      </c>
      <c r="H211" s="177" t="s">
        <v>145</v>
      </c>
    </row>
    <row r="212">
      <c r="A212" s="175" t="s">
        <v>125</v>
      </c>
      <c r="B212" s="176" t="s">
        <v>251</v>
      </c>
      <c r="C212" s="176" t="s">
        <v>306</v>
      </c>
      <c r="D212" s="176" t="s">
        <v>105</v>
      </c>
      <c r="E212" s="177" t="s">
        <v>398</v>
      </c>
      <c r="F212" s="177" t="s">
        <v>145</v>
      </c>
      <c r="G212" s="177" t="s">
        <v>256</v>
      </c>
      <c r="H212" s="177" t="s">
        <v>223</v>
      </c>
    </row>
    <row r="213">
      <c r="A213" s="175" t="s">
        <v>186</v>
      </c>
      <c r="B213" s="176" t="s">
        <v>256</v>
      </c>
      <c r="C213" s="176" t="s">
        <v>226</v>
      </c>
      <c r="D213" s="176" t="s">
        <v>221</v>
      </c>
      <c r="E213" s="177" t="s">
        <v>313</v>
      </c>
      <c r="F213" s="177" t="s">
        <v>130</v>
      </c>
      <c r="G213" s="177" t="s">
        <v>219</v>
      </c>
      <c r="H213" s="177" t="s">
        <v>130</v>
      </c>
    </row>
    <row r="214">
      <c r="A214" s="175" t="s">
        <v>204</v>
      </c>
      <c r="B214" s="176" t="s">
        <v>319</v>
      </c>
      <c r="C214" s="176" t="s">
        <v>234</v>
      </c>
      <c r="D214" s="176" t="s">
        <v>100</v>
      </c>
      <c r="E214" s="177" t="s">
        <v>328</v>
      </c>
      <c r="F214" s="177" t="s">
        <v>142</v>
      </c>
      <c r="G214" s="177" t="s">
        <v>116</v>
      </c>
      <c r="H214" s="177" t="s">
        <v>116</v>
      </c>
    </row>
    <row r="215">
      <c r="A215" s="175" t="s">
        <v>180</v>
      </c>
      <c r="B215" s="176" t="s">
        <v>313</v>
      </c>
      <c r="C215" s="176" t="s">
        <v>145</v>
      </c>
      <c r="D215" s="176" t="s">
        <v>188</v>
      </c>
      <c r="E215" s="177" t="s">
        <v>319</v>
      </c>
      <c r="F215" s="177" t="s">
        <v>358</v>
      </c>
      <c r="G215" s="177" t="s">
        <v>311</v>
      </c>
      <c r="H215" s="177" t="s">
        <v>209</v>
      </c>
    </row>
    <row r="216">
      <c r="A216" s="175" t="s">
        <v>222</v>
      </c>
      <c r="B216" s="176" t="s">
        <v>327</v>
      </c>
      <c r="C216" s="176" t="s">
        <v>311</v>
      </c>
      <c r="D216" s="176" t="s">
        <v>136</v>
      </c>
      <c r="E216" s="177" t="s">
        <v>144</v>
      </c>
      <c r="F216" s="177" t="s">
        <v>234</v>
      </c>
      <c r="G216" s="177" t="s">
        <v>215</v>
      </c>
      <c r="H216" s="177" t="s">
        <v>289</v>
      </c>
    </row>
    <row r="217">
      <c r="A217" s="175" t="s">
        <v>221</v>
      </c>
      <c r="B217" s="176" t="s">
        <v>328</v>
      </c>
      <c r="C217" s="176" t="s">
        <v>97</v>
      </c>
      <c r="D217" s="176" t="s">
        <v>125</v>
      </c>
      <c r="E217" s="177" t="s">
        <v>289</v>
      </c>
      <c r="F217" s="177" t="s">
        <v>97</v>
      </c>
      <c r="G217" s="177" t="s">
        <v>234</v>
      </c>
      <c r="H217" s="177" t="s">
        <v>401</v>
      </c>
    </row>
    <row r="218">
      <c r="A218" s="175" t="s">
        <v>232</v>
      </c>
      <c r="B218" s="176" t="s">
        <v>398</v>
      </c>
      <c r="C218" s="176" t="s">
        <v>397</v>
      </c>
      <c r="D218" s="176" t="s">
        <v>204</v>
      </c>
      <c r="E218" s="177" t="s">
        <v>327</v>
      </c>
      <c r="F218" s="177" t="s">
        <v>289</v>
      </c>
      <c r="G218" s="177" t="s">
        <v>289</v>
      </c>
      <c r="H218" s="177" t="s">
        <v>319</v>
      </c>
    </row>
    <row r="220">
      <c r="A220" s="178" t="s">
        <v>1804</v>
      </c>
      <c r="B220" s="169"/>
      <c r="C220" s="169"/>
      <c r="D220" s="169"/>
    </row>
    <row r="221">
      <c r="A221" s="174" t="s">
        <v>1805</v>
      </c>
      <c r="B221" s="174" t="s">
        <v>1806</v>
      </c>
      <c r="C221" s="174" t="s">
        <v>1807</v>
      </c>
      <c r="D221" s="174" t="s">
        <v>1808</v>
      </c>
    </row>
    <row r="222">
      <c r="A222" s="177" t="s">
        <v>107</v>
      </c>
      <c r="B222" s="177" t="s">
        <v>179</v>
      </c>
      <c r="C222" s="177" t="s">
        <v>192</v>
      </c>
      <c r="D222" s="177" t="s">
        <v>212</v>
      </c>
    </row>
    <row r="223">
      <c r="A223" s="177" t="s">
        <v>204</v>
      </c>
      <c r="B223" s="177" t="s">
        <v>86</v>
      </c>
      <c r="C223" s="177" t="s">
        <v>229</v>
      </c>
      <c r="D223" s="177" t="s">
        <v>252</v>
      </c>
    </row>
    <row r="224">
      <c r="A224" s="177" t="s">
        <v>184</v>
      </c>
      <c r="B224" s="177" t="s">
        <v>332</v>
      </c>
      <c r="C224" s="177" t="s">
        <v>147</v>
      </c>
      <c r="D224" s="177" t="s">
        <v>229</v>
      </c>
    </row>
    <row r="225">
      <c r="A225" s="177" t="s">
        <v>100</v>
      </c>
      <c r="B225" s="177" t="s">
        <v>289</v>
      </c>
      <c r="C225" s="177" t="s">
        <v>332</v>
      </c>
      <c r="D225" s="177" t="s">
        <v>328</v>
      </c>
    </row>
    <row r="226">
      <c r="A226" s="177" t="s">
        <v>190</v>
      </c>
      <c r="B226" s="177" t="s">
        <v>276</v>
      </c>
      <c r="C226" s="177" t="s">
        <v>316</v>
      </c>
      <c r="D226" s="177" t="s">
        <v>129</v>
      </c>
    </row>
    <row r="227">
      <c r="A227" s="177" t="s">
        <v>105</v>
      </c>
      <c r="B227" s="177" t="s">
        <v>328</v>
      </c>
      <c r="C227" s="177" t="s">
        <v>214</v>
      </c>
      <c r="D227" s="177" t="s">
        <v>180</v>
      </c>
    </row>
    <row r="228">
      <c r="A228" s="177" t="s">
        <v>142</v>
      </c>
      <c r="B228" s="177" t="s">
        <v>82</v>
      </c>
      <c r="C228" s="177" t="s">
        <v>145</v>
      </c>
      <c r="D228" s="177" t="s">
        <v>219</v>
      </c>
    </row>
    <row r="229">
      <c r="A229" s="177" t="s">
        <v>180</v>
      </c>
      <c r="B229" s="177" t="s">
        <v>234</v>
      </c>
      <c r="C229" s="177" t="s">
        <v>199</v>
      </c>
      <c r="D229" s="177" t="s">
        <v>145</v>
      </c>
    </row>
    <row r="231">
      <c r="A231" s="178" t="s">
        <v>1809</v>
      </c>
      <c r="B231" s="169"/>
      <c r="C231" s="169"/>
      <c r="D231" s="179"/>
      <c r="E231" s="180"/>
    </row>
    <row r="232">
      <c r="A232" s="174" t="s">
        <v>1810</v>
      </c>
      <c r="B232" s="174" t="s">
        <v>1811</v>
      </c>
      <c r="C232" s="174" t="s">
        <v>1812</v>
      </c>
      <c r="D232" s="181"/>
      <c r="E232" s="180"/>
    </row>
    <row r="233">
      <c r="A233" s="177" t="s">
        <v>215</v>
      </c>
      <c r="B233" s="177" t="s">
        <v>278</v>
      </c>
      <c r="C233" s="177" t="s">
        <v>389</v>
      </c>
      <c r="D233" s="182"/>
      <c r="E233" s="180"/>
    </row>
    <row r="234">
      <c r="A234" s="177" t="s">
        <v>276</v>
      </c>
      <c r="B234" s="177" t="s">
        <v>311</v>
      </c>
      <c r="C234" s="177" t="s">
        <v>401</v>
      </c>
      <c r="D234" s="182"/>
      <c r="E234" s="180"/>
    </row>
    <row r="235">
      <c r="A235" s="177" t="s">
        <v>388</v>
      </c>
      <c r="B235" s="177" t="s">
        <v>289</v>
      </c>
      <c r="C235" s="177" t="s">
        <v>192</v>
      </c>
      <c r="D235" s="182"/>
      <c r="E235" s="180"/>
    </row>
    <row r="236">
      <c r="A236" s="177" t="s">
        <v>313</v>
      </c>
      <c r="B236" s="177" t="s">
        <v>180</v>
      </c>
      <c r="C236" s="177" t="s">
        <v>300</v>
      </c>
      <c r="D236" s="182"/>
      <c r="E236" s="180"/>
    </row>
    <row r="237">
      <c r="A237" s="177" t="s">
        <v>328</v>
      </c>
      <c r="B237" s="177" t="s">
        <v>389</v>
      </c>
      <c r="C237" s="177" t="s">
        <v>238</v>
      </c>
      <c r="D237" s="182"/>
      <c r="E237" s="180"/>
    </row>
    <row r="238">
      <c r="A238" s="177" t="s">
        <v>226</v>
      </c>
      <c r="B238" s="177" t="s">
        <v>327</v>
      </c>
      <c r="C238" s="177" t="s">
        <v>226</v>
      </c>
      <c r="D238" s="182"/>
      <c r="E238" s="180"/>
    </row>
    <row r="239">
      <c r="A239" s="177" t="s">
        <v>184</v>
      </c>
      <c r="B239" s="177" t="s">
        <v>204</v>
      </c>
      <c r="C239" s="177" t="s">
        <v>145</v>
      </c>
      <c r="D239" s="182"/>
      <c r="E239" s="180"/>
    </row>
    <row r="240">
      <c r="A240" s="177" t="s">
        <v>223</v>
      </c>
      <c r="B240" s="177" t="s">
        <v>199</v>
      </c>
      <c r="C240" s="177" t="s">
        <v>100</v>
      </c>
      <c r="D240" s="182"/>
      <c r="E240" s="180"/>
    </row>
    <row r="241">
      <c r="D241" s="180"/>
      <c r="E241" s="180"/>
    </row>
    <row r="242">
      <c r="A242" s="178" t="s">
        <v>1813</v>
      </c>
      <c r="B242" s="169"/>
      <c r="C242" s="169"/>
      <c r="D242" s="169"/>
      <c r="E242" s="169"/>
      <c r="F242" s="169"/>
      <c r="G242" s="169"/>
      <c r="H242" s="169"/>
    </row>
    <row r="243">
      <c r="A243" s="174" t="s">
        <v>1814</v>
      </c>
      <c r="B243" s="174" t="s">
        <v>1815</v>
      </c>
      <c r="C243" s="174" t="s">
        <v>1816</v>
      </c>
      <c r="D243" s="174" t="s">
        <v>1817</v>
      </c>
      <c r="E243" s="169"/>
      <c r="F243" s="169"/>
      <c r="G243" s="169"/>
      <c r="H243" s="169"/>
    </row>
    <row r="244">
      <c r="A244" s="177" t="s">
        <v>278</v>
      </c>
      <c r="B244" s="177" t="s">
        <v>278</v>
      </c>
      <c r="C244" s="177" t="s">
        <v>278</v>
      </c>
      <c r="D244" s="177" t="s">
        <v>278</v>
      </c>
      <c r="E244" s="169"/>
      <c r="F244" s="169"/>
      <c r="G244" s="169"/>
      <c r="H244" s="169"/>
    </row>
    <row r="245">
      <c r="A245" s="177" t="s">
        <v>130</v>
      </c>
      <c r="B245" s="177" t="s">
        <v>238</v>
      </c>
      <c r="C245" s="177" t="s">
        <v>86</v>
      </c>
      <c r="D245" s="177" t="s">
        <v>203</v>
      </c>
      <c r="E245" s="169"/>
      <c r="F245" s="169"/>
      <c r="G245" s="169"/>
      <c r="H245" s="169"/>
    </row>
    <row r="246">
      <c r="A246" s="177" t="s">
        <v>288</v>
      </c>
      <c r="B246" s="177" t="s">
        <v>252</v>
      </c>
      <c r="C246" s="177" t="s">
        <v>200</v>
      </c>
      <c r="D246" s="177" t="s">
        <v>86</v>
      </c>
      <c r="E246" s="169"/>
      <c r="F246" s="169"/>
      <c r="G246" s="169"/>
      <c r="H246" s="169"/>
    </row>
    <row r="247">
      <c r="A247" s="177" t="s">
        <v>238</v>
      </c>
      <c r="B247" s="177" t="s">
        <v>86</v>
      </c>
      <c r="C247" s="177" t="s">
        <v>252</v>
      </c>
      <c r="D247" s="177" t="s">
        <v>142</v>
      </c>
      <c r="E247" s="169"/>
      <c r="F247" s="169"/>
      <c r="G247" s="169"/>
      <c r="H247" s="169"/>
    </row>
    <row r="248">
      <c r="A248" s="177" t="s">
        <v>142</v>
      </c>
      <c r="B248" s="177" t="s">
        <v>186</v>
      </c>
      <c r="C248" s="177" t="s">
        <v>288</v>
      </c>
      <c r="D248" s="177" t="s">
        <v>186</v>
      </c>
      <c r="E248" s="169"/>
      <c r="F248" s="169"/>
      <c r="G248" s="169"/>
      <c r="H248" s="169"/>
    </row>
    <row r="249">
      <c r="A249" s="177" t="s">
        <v>186</v>
      </c>
      <c r="B249" s="177" t="s">
        <v>200</v>
      </c>
      <c r="C249" s="177" t="s">
        <v>219</v>
      </c>
      <c r="D249" s="177" t="s">
        <v>184</v>
      </c>
      <c r="E249" s="169"/>
      <c r="F249" s="169"/>
      <c r="G249" s="169"/>
      <c r="H249" s="169"/>
    </row>
    <row r="250">
      <c r="A250" s="177" t="s">
        <v>184</v>
      </c>
      <c r="B250" s="177" t="s">
        <v>82</v>
      </c>
      <c r="C250" s="177" t="s">
        <v>396</v>
      </c>
      <c r="D250" s="177" t="s">
        <v>82</v>
      </c>
      <c r="E250" s="169"/>
      <c r="F250" s="169"/>
      <c r="G250" s="169"/>
      <c r="H250" s="169"/>
    </row>
    <row r="251">
      <c r="A251" s="177" t="s">
        <v>100</v>
      </c>
      <c r="B251" s="177" t="s">
        <v>234</v>
      </c>
      <c r="C251" s="177" t="s">
        <v>223</v>
      </c>
      <c r="D251" s="177" t="s">
        <v>199</v>
      </c>
      <c r="E251" s="169"/>
      <c r="F251" s="169"/>
      <c r="G251" s="169"/>
      <c r="H251" s="169"/>
    </row>
    <row r="252">
      <c r="A252" s="183"/>
      <c r="B252" s="169"/>
      <c r="C252" s="169"/>
      <c r="D252" s="169"/>
      <c r="E252" s="169"/>
      <c r="F252" s="169"/>
      <c r="G252" s="169"/>
      <c r="H252" s="169"/>
    </row>
    <row r="253">
      <c r="A253" s="178" t="s">
        <v>1818</v>
      </c>
      <c r="B253" s="169"/>
      <c r="C253" s="169"/>
      <c r="D253" s="169"/>
      <c r="E253" s="169"/>
      <c r="F253" s="169"/>
      <c r="G253" s="169"/>
      <c r="H253" s="169"/>
    </row>
    <row r="254">
      <c r="A254" s="174" t="s">
        <v>1819</v>
      </c>
      <c r="B254" s="174" t="s">
        <v>1820</v>
      </c>
      <c r="C254" s="174" t="s">
        <v>1821</v>
      </c>
      <c r="D254" s="174" t="s">
        <v>1822</v>
      </c>
      <c r="E254" s="169"/>
      <c r="F254" s="169"/>
      <c r="G254" s="169"/>
      <c r="H254" s="169"/>
    </row>
    <row r="255">
      <c r="A255" s="177" t="s">
        <v>274</v>
      </c>
      <c r="B255" s="177" t="s">
        <v>209</v>
      </c>
      <c r="C255" s="177" t="s">
        <v>278</v>
      </c>
      <c r="D255" s="177" t="s">
        <v>201</v>
      </c>
      <c r="E255" s="169"/>
      <c r="F255" s="169"/>
      <c r="G255" s="169"/>
      <c r="H255" s="169"/>
    </row>
    <row r="256">
      <c r="A256" s="177" t="s">
        <v>142</v>
      </c>
      <c r="B256" s="177" t="s">
        <v>253</v>
      </c>
      <c r="C256" s="177" t="s">
        <v>86</v>
      </c>
      <c r="D256" s="177" t="s">
        <v>222</v>
      </c>
      <c r="E256" s="169"/>
      <c r="F256" s="169"/>
      <c r="G256" s="169"/>
      <c r="H256" s="169"/>
    </row>
    <row r="257">
      <c r="A257" s="177" t="s">
        <v>86</v>
      </c>
      <c r="B257" s="177" t="s">
        <v>204</v>
      </c>
      <c r="C257" s="177" t="s">
        <v>142</v>
      </c>
      <c r="D257" s="177" t="s">
        <v>142</v>
      </c>
      <c r="E257" s="169"/>
      <c r="F257" s="169"/>
      <c r="G257" s="169"/>
      <c r="H257" s="169"/>
    </row>
    <row r="258">
      <c r="A258" s="177" t="s">
        <v>105</v>
      </c>
      <c r="B258" s="177" t="s">
        <v>223</v>
      </c>
      <c r="C258" s="177" t="s">
        <v>93</v>
      </c>
      <c r="D258" s="177" t="s">
        <v>86</v>
      </c>
      <c r="E258" s="169"/>
      <c r="F258" s="169"/>
      <c r="G258" s="169"/>
      <c r="H258" s="169"/>
    </row>
    <row r="259">
      <c r="A259" s="177" t="s">
        <v>204</v>
      </c>
      <c r="B259" s="177" t="s">
        <v>142</v>
      </c>
      <c r="C259" s="177" t="s">
        <v>180</v>
      </c>
      <c r="D259" s="177" t="s">
        <v>153</v>
      </c>
      <c r="E259" s="169"/>
      <c r="F259" s="169"/>
      <c r="G259" s="169"/>
      <c r="H259" s="169"/>
    </row>
    <row r="260">
      <c r="A260" s="177" t="s">
        <v>223</v>
      </c>
      <c r="B260" s="177" t="s">
        <v>310</v>
      </c>
      <c r="C260" s="177" t="s">
        <v>126</v>
      </c>
      <c r="D260" s="177" t="s">
        <v>221</v>
      </c>
      <c r="E260" s="169"/>
      <c r="F260" s="169"/>
      <c r="G260" s="169"/>
      <c r="H260" s="169"/>
    </row>
    <row r="261">
      <c r="A261" s="177" t="s">
        <v>132</v>
      </c>
      <c r="B261" s="177" t="s">
        <v>93</v>
      </c>
      <c r="C261" s="177" t="s">
        <v>82</v>
      </c>
      <c r="D261" s="177" t="s">
        <v>204</v>
      </c>
      <c r="E261" s="169"/>
      <c r="F261" s="169"/>
      <c r="G261" s="169"/>
      <c r="H261" s="169"/>
    </row>
    <row r="262">
      <c r="A262" s="177" t="s">
        <v>126</v>
      </c>
      <c r="B262" s="177" t="s">
        <v>221</v>
      </c>
      <c r="C262" s="177" t="s">
        <v>223</v>
      </c>
      <c r="D262" s="177" t="s">
        <v>100</v>
      </c>
      <c r="E262" s="169"/>
      <c r="F262" s="169"/>
      <c r="G262" s="169"/>
      <c r="H262" s="169"/>
    </row>
    <row r="263">
      <c r="A263" s="184"/>
      <c r="B263" s="169"/>
      <c r="C263" s="169"/>
      <c r="D263" s="169"/>
      <c r="E263" s="169"/>
      <c r="F263" s="169"/>
      <c r="G263" s="169"/>
      <c r="H263" s="169"/>
    </row>
    <row r="264">
      <c r="A264" s="178" t="s">
        <v>1823</v>
      </c>
      <c r="B264" s="169"/>
      <c r="C264" s="169"/>
      <c r="D264" s="169"/>
      <c r="E264" s="169"/>
      <c r="F264" s="169"/>
      <c r="G264" s="169"/>
      <c r="H264" s="169"/>
    </row>
    <row r="265">
      <c r="A265" s="174" t="s">
        <v>1824</v>
      </c>
      <c r="B265" s="174" t="s">
        <v>1825</v>
      </c>
      <c r="C265" s="174" t="s">
        <v>1826</v>
      </c>
      <c r="D265" s="174" t="s">
        <v>1827</v>
      </c>
      <c r="E265" s="174" t="s">
        <v>1828</v>
      </c>
      <c r="F265" s="169"/>
      <c r="G265" s="169"/>
      <c r="H265" s="169"/>
    </row>
    <row r="266">
      <c r="A266" s="177" t="s">
        <v>107</v>
      </c>
      <c r="B266" s="177" t="s">
        <v>196</v>
      </c>
      <c r="C266" s="177" t="s">
        <v>188</v>
      </c>
      <c r="D266" s="177" t="s">
        <v>188</v>
      </c>
      <c r="E266" s="177" t="s">
        <v>209</v>
      </c>
      <c r="F266" s="169"/>
      <c r="G266" s="169"/>
      <c r="H266" s="169"/>
    </row>
    <row r="267">
      <c r="A267" s="177" t="s">
        <v>188</v>
      </c>
      <c r="B267" s="177" t="s">
        <v>226</v>
      </c>
      <c r="C267" s="177" t="s">
        <v>129</v>
      </c>
      <c r="D267" s="177" t="s">
        <v>139</v>
      </c>
      <c r="E267" s="177" t="s">
        <v>358</v>
      </c>
      <c r="F267" s="169"/>
      <c r="G267" s="169"/>
      <c r="H267" s="169"/>
    </row>
    <row r="268">
      <c r="A268" s="177" t="s">
        <v>139</v>
      </c>
      <c r="B268" s="177" t="s">
        <v>282</v>
      </c>
      <c r="C268" s="177" t="s">
        <v>226</v>
      </c>
      <c r="D268" s="177" t="s">
        <v>153</v>
      </c>
      <c r="E268" s="177" t="s">
        <v>230</v>
      </c>
      <c r="F268" s="169"/>
      <c r="G268" s="169"/>
      <c r="H268" s="169"/>
    </row>
    <row r="269">
      <c r="A269" s="177" t="s">
        <v>252</v>
      </c>
      <c r="B269" s="177" t="s">
        <v>153</v>
      </c>
      <c r="C269" s="177" t="s">
        <v>252</v>
      </c>
      <c r="D269" s="177" t="s">
        <v>136</v>
      </c>
      <c r="E269" s="177" t="s">
        <v>93</v>
      </c>
      <c r="F269" s="169"/>
      <c r="G269" s="169"/>
      <c r="H269" s="169"/>
    </row>
    <row r="270">
      <c r="A270" s="177" t="s">
        <v>93</v>
      </c>
      <c r="B270" s="177" t="s">
        <v>252</v>
      </c>
      <c r="C270" s="177" t="s">
        <v>153</v>
      </c>
      <c r="D270" s="177" t="s">
        <v>115</v>
      </c>
      <c r="E270" s="177" t="s">
        <v>115</v>
      </c>
      <c r="F270" s="169"/>
      <c r="G270" s="169"/>
      <c r="H270" s="169"/>
    </row>
    <row r="271">
      <c r="A271" s="177" t="s">
        <v>113</v>
      </c>
      <c r="B271" s="177" t="s">
        <v>184</v>
      </c>
      <c r="C271" s="177" t="s">
        <v>115</v>
      </c>
      <c r="D271" s="177" t="s">
        <v>113</v>
      </c>
      <c r="E271" s="177" t="s">
        <v>86</v>
      </c>
      <c r="F271" s="169"/>
      <c r="G271" s="169"/>
      <c r="H271" s="169"/>
    </row>
    <row r="272">
      <c r="A272" s="177" t="s">
        <v>82</v>
      </c>
      <c r="B272" s="177" t="s">
        <v>125</v>
      </c>
      <c r="C272" s="177" t="s">
        <v>234</v>
      </c>
      <c r="D272" s="177" t="s">
        <v>184</v>
      </c>
      <c r="E272" s="177" t="s">
        <v>82</v>
      </c>
      <c r="F272" s="169"/>
      <c r="G272" s="169"/>
      <c r="H272" s="169"/>
    </row>
    <row r="273">
      <c r="A273" s="177" t="s">
        <v>320</v>
      </c>
      <c r="B273" s="177" t="s">
        <v>320</v>
      </c>
      <c r="C273" s="177" t="s">
        <v>224</v>
      </c>
      <c r="D273" s="177" t="s">
        <v>100</v>
      </c>
      <c r="E273" s="177" t="s">
        <v>234</v>
      </c>
      <c r="F273" s="169"/>
      <c r="G273" s="169"/>
      <c r="H273" s="169"/>
    </row>
    <row r="274">
      <c r="A274" s="184"/>
      <c r="B274" s="169"/>
      <c r="C274" s="169"/>
      <c r="D274" s="169"/>
      <c r="E274" s="169"/>
      <c r="F274" s="169"/>
      <c r="G274" s="169"/>
      <c r="H274" s="169"/>
    </row>
    <row r="275">
      <c r="A275" s="170" t="s">
        <v>1829</v>
      </c>
      <c r="B275" s="171"/>
      <c r="C275" s="171"/>
      <c r="D275" s="171"/>
      <c r="E275" s="171"/>
      <c r="F275" s="171"/>
      <c r="G275" s="169"/>
      <c r="H275" s="169"/>
    </row>
    <row r="276">
      <c r="A276" s="185" t="s">
        <v>1830</v>
      </c>
      <c r="B276" s="186" t="s">
        <v>1831</v>
      </c>
      <c r="C276" s="186" t="s">
        <v>1832</v>
      </c>
      <c r="D276" s="186" t="s">
        <v>1833</v>
      </c>
      <c r="E276" s="186" t="s">
        <v>1834</v>
      </c>
      <c r="F276" s="186" t="s">
        <v>1835</v>
      </c>
      <c r="G276" s="169"/>
      <c r="H276" s="169"/>
    </row>
    <row r="277">
      <c r="A277" s="118" t="s">
        <v>274</v>
      </c>
      <c r="B277" s="117" t="s">
        <v>214</v>
      </c>
      <c r="C277" s="117" t="s">
        <v>215</v>
      </c>
      <c r="D277" s="117" t="s">
        <v>209</v>
      </c>
      <c r="E277" s="117" t="s">
        <v>212</v>
      </c>
      <c r="F277" s="117" t="s">
        <v>196</v>
      </c>
      <c r="G277" s="169"/>
      <c r="H277" s="169"/>
    </row>
    <row r="278">
      <c r="A278" s="118" t="s">
        <v>142</v>
      </c>
      <c r="B278" s="117" t="s">
        <v>316</v>
      </c>
      <c r="C278" s="117" t="s">
        <v>142</v>
      </c>
      <c r="D278" s="117" t="s">
        <v>204</v>
      </c>
      <c r="E278" s="117" t="s">
        <v>288</v>
      </c>
      <c r="F278" s="117" t="s">
        <v>229</v>
      </c>
      <c r="G278" s="169"/>
      <c r="H278" s="169"/>
    </row>
    <row r="279">
      <c r="A279" s="118" t="s">
        <v>389</v>
      </c>
      <c r="B279" s="117" t="s">
        <v>142</v>
      </c>
      <c r="C279" s="117" t="s">
        <v>256</v>
      </c>
      <c r="D279" s="117" t="s">
        <v>397</v>
      </c>
      <c r="E279" s="117" t="s">
        <v>144</v>
      </c>
      <c r="F279" s="117" t="s">
        <v>113</v>
      </c>
      <c r="G279" s="169"/>
      <c r="H279" s="169"/>
    </row>
    <row r="280">
      <c r="A280" s="118" t="s">
        <v>388</v>
      </c>
      <c r="B280" s="117" t="s">
        <v>126</v>
      </c>
      <c r="C280" s="117" t="s">
        <v>203</v>
      </c>
      <c r="D280" s="117" t="s">
        <v>100</v>
      </c>
      <c r="E280" s="117" t="s">
        <v>389</v>
      </c>
      <c r="F280" s="117" t="s">
        <v>232</v>
      </c>
      <c r="G280" s="169"/>
      <c r="H280" s="169"/>
    </row>
    <row r="281">
      <c r="A281" s="118" t="s">
        <v>320</v>
      </c>
      <c r="B281" s="117" t="s">
        <v>311</v>
      </c>
      <c r="C281" s="117" t="s">
        <v>180</v>
      </c>
      <c r="D281" s="117" t="s">
        <v>226</v>
      </c>
      <c r="E281" s="117" t="s">
        <v>358</v>
      </c>
      <c r="F281" s="117" t="s">
        <v>316</v>
      </c>
      <c r="G281" s="169"/>
      <c r="H281" s="169"/>
    </row>
    <row r="282">
      <c r="A282" s="118" t="s">
        <v>130</v>
      </c>
      <c r="B282" s="117" t="s">
        <v>232</v>
      </c>
      <c r="C282" s="117" t="s">
        <v>222</v>
      </c>
      <c r="D282" s="117" t="s">
        <v>130</v>
      </c>
      <c r="E282" s="117" t="s">
        <v>232</v>
      </c>
      <c r="F282" s="117" t="s">
        <v>180</v>
      </c>
      <c r="G282" s="169"/>
      <c r="H282" s="169"/>
    </row>
    <row r="283">
      <c r="A283" s="118" t="s">
        <v>397</v>
      </c>
      <c r="B283" s="117" t="s">
        <v>145</v>
      </c>
      <c r="C283" s="117" t="s">
        <v>125</v>
      </c>
      <c r="D283" s="117" t="s">
        <v>102</v>
      </c>
      <c r="E283" s="117" t="s">
        <v>145</v>
      </c>
      <c r="F283" s="117" t="s">
        <v>186</v>
      </c>
      <c r="G283" s="169"/>
      <c r="H283" s="169"/>
    </row>
    <row r="284">
      <c r="A284" s="118" t="s">
        <v>223</v>
      </c>
      <c r="B284" s="117" t="s">
        <v>234</v>
      </c>
      <c r="C284" s="117" t="s">
        <v>184</v>
      </c>
      <c r="D284" s="117" t="s">
        <v>126</v>
      </c>
      <c r="E284" s="117" t="s">
        <v>1836</v>
      </c>
      <c r="F284" s="117" t="s">
        <v>145</v>
      </c>
      <c r="G284" s="169"/>
      <c r="H284" s="169"/>
    </row>
    <row r="285">
      <c r="A285" s="169"/>
      <c r="B285" s="169"/>
      <c r="C285" s="169"/>
      <c r="D285" s="169"/>
      <c r="E285" s="169"/>
      <c r="F285" s="169"/>
      <c r="G285" s="169"/>
      <c r="H285" s="169"/>
    </row>
    <row r="286">
      <c r="A286" s="187" t="s">
        <v>1837</v>
      </c>
      <c r="B286" s="171"/>
      <c r="C286" s="171"/>
      <c r="D286" s="171"/>
      <c r="E286" s="171"/>
      <c r="F286" s="171"/>
      <c r="G286" s="171"/>
      <c r="H286" s="171"/>
    </row>
    <row r="287">
      <c r="A287" s="185" t="s">
        <v>1838</v>
      </c>
      <c r="B287" s="186" t="s">
        <v>1839</v>
      </c>
      <c r="C287" s="186" t="s">
        <v>1840</v>
      </c>
      <c r="D287" s="186" t="s">
        <v>1841</v>
      </c>
      <c r="E287" s="186" t="s">
        <v>1842</v>
      </c>
      <c r="F287" s="186" t="s">
        <v>1843</v>
      </c>
      <c r="G287" s="186" t="s">
        <v>1844</v>
      </c>
      <c r="H287" s="186" t="s">
        <v>1845</v>
      </c>
    </row>
    <row r="288">
      <c r="A288" s="118" t="s">
        <v>232</v>
      </c>
      <c r="B288" s="117" t="s">
        <v>229</v>
      </c>
      <c r="C288" s="117" t="s">
        <v>115</v>
      </c>
      <c r="D288" s="117" t="s">
        <v>113</v>
      </c>
      <c r="E288" s="117" t="s">
        <v>232</v>
      </c>
      <c r="F288" s="117" t="s">
        <v>115</v>
      </c>
      <c r="G288" s="117" t="s">
        <v>107</v>
      </c>
      <c r="H288" s="117" t="s">
        <v>229</v>
      </c>
    </row>
    <row r="289">
      <c r="A289" s="118" t="s">
        <v>221</v>
      </c>
      <c r="B289" s="117" t="s">
        <v>113</v>
      </c>
      <c r="C289" s="117" t="s">
        <v>213</v>
      </c>
      <c r="D289" s="117" t="s">
        <v>115</v>
      </c>
      <c r="E289" s="117" t="s">
        <v>115</v>
      </c>
      <c r="F289" s="117" t="s">
        <v>212</v>
      </c>
      <c r="G289" s="117" t="s">
        <v>229</v>
      </c>
      <c r="H289" s="117" t="s">
        <v>115</v>
      </c>
    </row>
    <row r="290">
      <c r="A290" s="118" t="s">
        <v>203</v>
      </c>
      <c r="B290" s="117" t="s">
        <v>147</v>
      </c>
      <c r="C290" s="117" t="s">
        <v>209</v>
      </c>
      <c r="D290" s="117" t="s">
        <v>1846</v>
      </c>
      <c r="E290" s="117" t="s">
        <v>303</v>
      </c>
      <c r="F290" s="117" t="s">
        <v>180</v>
      </c>
      <c r="G290" s="117" t="s">
        <v>232</v>
      </c>
      <c r="H290" s="117" t="s">
        <v>113</v>
      </c>
    </row>
    <row r="291">
      <c r="A291" s="118" t="s">
        <v>115</v>
      </c>
      <c r="B291" s="117" t="s">
        <v>115</v>
      </c>
      <c r="C291" s="117" t="s">
        <v>192</v>
      </c>
      <c r="D291" s="117" t="s">
        <v>274</v>
      </c>
      <c r="E291" s="117" t="s">
        <v>147</v>
      </c>
      <c r="F291" s="117" t="s">
        <v>147</v>
      </c>
      <c r="G291" s="117" t="s">
        <v>230</v>
      </c>
      <c r="H291" s="117" t="s">
        <v>232</v>
      </c>
    </row>
    <row r="292">
      <c r="A292" s="118" t="s">
        <v>313</v>
      </c>
      <c r="B292" s="117" t="s">
        <v>213</v>
      </c>
      <c r="C292" s="117" t="s">
        <v>232</v>
      </c>
      <c r="D292" s="117" t="s">
        <v>370</v>
      </c>
      <c r="E292" s="117" t="s">
        <v>229</v>
      </c>
      <c r="F292" s="117" t="s">
        <v>222</v>
      </c>
      <c r="G292" s="117" t="s">
        <v>326</v>
      </c>
      <c r="H292" s="117" t="s">
        <v>230</v>
      </c>
    </row>
    <row r="293">
      <c r="A293" s="118" t="s">
        <v>229</v>
      </c>
      <c r="B293" s="117" t="s">
        <v>93</v>
      </c>
      <c r="C293" s="117" t="s">
        <v>229</v>
      </c>
      <c r="D293" s="117" t="s">
        <v>230</v>
      </c>
      <c r="E293" s="117" t="s">
        <v>145</v>
      </c>
      <c r="F293" s="117" t="s">
        <v>229</v>
      </c>
      <c r="G293" s="117" t="s">
        <v>115</v>
      </c>
      <c r="H293" s="117" t="s">
        <v>147</v>
      </c>
    </row>
    <row r="294">
      <c r="A294" s="118" t="s">
        <v>153</v>
      </c>
      <c r="B294" s="117" t="s">
        <v>82</v>
      </c>
      <c r="C294" s="117" t="s">
        <v>100</v>
      </c>
      <c r="D294" s="117" t="s">
        <v>184</v>
      </c>
      <c r="E294" s="117" t="s">
        <v>289</v>
      </c>
      <c r="F294" s="117" t="s">
        <v>232</v>
      </c>
      <c r="G294" s="117" t="s">
        <v>145</v>
      </c>
      <c r="H294" s="117" t="s">
        <v>180</v>
      </c>
    </row>
    <row r="295">
      <c r="A295" s="118" t="s">
        <v>184</v>
      </c>
      <c r="B295" s="117" t="s">
        <v>397</v>
      </c>
      <c r="C295" s="117" t="s">
        <v>184</v>
      </c>
      <c r="D295" s="117" t="s">
        <v>100</v>
      </c>
      <c r="E295" s="117" t="s">
        <v>97</v>
      </c>
      <c r="F295" s="117" t="s">
        <v>184</v>
      </c>
      <c r="G295" s="117" t="s">
        <v>184</v>
      </c>
      <c r="H295" s="117" t="s">
        <v>82</v>
      </c>
    </row>
    <row r="296">
      <c r="A296" s="169"/>
      <c r="B296" s="169"/>
      <c r="C296" s="169"/>
      <c r="D296" s="169"/>
      <c r="E296" s="169"/>
      <c r="F296" s="169"/>
      <c r="G296" s="169"/>
      <c r="H296" s="169"/>
    </row>
    <row r="297">
      <c r="A297" s="187" t="s">
        <v>1847</v>
      </c>
      <c r="B297" s="171"/>
      <c r="C297" s="171"/>
      <c r="D297" s="171"/>
      <c r="E297" s="171"/>
      <c r="F297" s="171"/>
      <c r="G297" s="171"/>
      <c r="H297" s="171"/>
    </row>
    <row r="298">
      <c r="A298" s="185" t="s">
        <v>1848</v>
      </c>
      <c r="B298" s="186" t="s">
        <v>1849</v>
      </c>
      <c r="C298" s="186" t="s">
        <v>1850</v>
      </c>
      <c r="D298" s="186" t="s">
        <v>1851</v>
      </c>
      <c r="E298" s="186" t="s">
        <v>1852</v>
      </c>
      <c r="F298" s="186" t="s">
        <v>1853</v>
      </c>
      <c r="G298" s="186" t="s">
        <v>1854</v>
      </c>
      <c r="H298" s="186" t="s">
        <v>1855</v>
      </c>
    </row>
    <row r="299">
      <c r="A299" s="118" t="s">
        <v>203</v>
      </c>
      <c r="B299" s="117" t="s">
        <v>328</v>
      </c>
      <c r="C299" s="117" t="s">
        <v>313</v>
      </c>
      <c r="D299" s="117" t="s">
        <v>180</v>
      </c>
      <c r="E299" s="117" t="s">
        <v>203</v>
      </c>
      <c r="F299" s="176" t="s">
        <v>327</v>
      </c>
      <c r="G299" s="117" t="s">
        <v>107</v>
      </c>
      <c r="H299" s="117" t="s">
        <v>144</v>
      </c>
    </row>
    <row r="300">
      <c r="A300" s="118" t="s">
        <v>180</v>
      </c>
      <c r="B300" s="176" t="s">
        <v>327</v>
      </c>
      <c r="C300" s="117" t="s">
        <v>144</v>
      </c>
      <c r="D300" s="117" t="s">
        <v>234</v>
      </c>
      <c r="E300" s="117" t="s">
        <v>180</v>
      </c>
      <c r="F300" s="117" t="s">
        <v>234</v>
      </c>
      <c r="G300" s="117" t="s">
        <v>213</v>
      </c>
      <c r="H300" s="176" t="s">
        <v>327</v>
      </c>
    </row>
    <row r="301">
      <c r="A301" s="118" t="s">
        <v>222</v>
      </c>
      <c r="B301" s="117" t="s">
        <v>256</v>
      </c>
      <c r="C301" s="117" t="s">
        <v>100</v>
      </c>
      <c r="D301" s="176" t="s">
        <v>327</v>
      </c>
      <c r="E301" s="117" t="s">
        <v>234</v>
      </c>
      <c r="F301" s="117" t="s">
        <v>204</v>
      </c>
      <c r="G301" s="117" t="s">
        <v>214</v>
      </c>
      <c r="H301" s="117" t="s">
        <v>184</v>
      </c>
    </row>
    <row r="302">
      <c r="A302" s="118" t="s">
        <v>238</v>
      </c>
      <c r="B302" s="117" t="s">
        <v>186</v>
      </c>
      <c r="C302" s="117" t="s">
        <v>184</v>
      </c>
      <c r="D302" s="117" t="s">
        <v>282</v>
      </c>
      <c r="E302" s="117" t="s">
        <v>184</v>
      </c>
      <c r="F302" s="117" t="s">
        <v>180</v>
      </c>
      <c r="G302" s="176" t="s">
        <v>327</v>
      </c>
      <c r="H302" s="117" t="s">
        <v>222</v>
      </c>
    </row>
    <row r="303">
      <c r="A303" s="118" t="s">
        <v>192</v>
      </c>
      <c r="B303" s="117" t="s">
        <v>397</v>
      </c>
      <c r="C303" s="176" t="s">
        <v>327</v>
      </c>
      <c r="D303" s="117" t="s">
        <v>204</v>
      </c>
      <c r="E303" s="117" t="s">
        <v>179</v>
      </c>
      <c r="F303" s="117" t="s">
        <v>328</v>
      </c>
      <c r="G303" s="117" t="s">
        <v>115</v>
      </c>
      <c r="H303" s="117" t="s">
        <v>256</v>
      </c>
    </row>
    <row r="304">
      <c r="A304" s="118" t="s">
        <v>310</v>
      </c>
      <c r="B304" s="117" t="s">
        <v>204</v>
      </c>
      <c r="C304" s="117" t="s">
        <v>213</v>
      </c>
      <c r="D304" s="117" t="s">
        <v>129</v>
      </c>
      <c r="E304" s="117" t="s">
        <v>289</v>
      </c>
      <c r="F304" s="117" t="s">
        <v>222</v>
      </c>
      <c r="G304" s="117" t="s">
        <v>93</v>
      </c>
      <c r="H304" s="117" t="s">
        <v>397</v>
      </c>
    </row>
    <row r="305">
      <c r="A305" s="118" t="s">
        <v>397</v>
      </c>
      <c r="B305" s="117" t="s">
        <v>144</v>
      </c>
      <c r="C305" s="117" t="s">
        <v>238</v>
      </c>
      <c r="D305" s="117" t="s">
        <v>184</v>
      </c>
      <c r="E305" s="117" t="s">
        <v>221</v>
      </c>
      <c r="F305" s="117" t="s">
        <v>221</v>
      </c>
      <c r="G305" s="117" t="s">
        <v>100</v>
      </c>
      <c r="H305" s="117" t="s">
        <v>213</v>
      </c>
    </row>
    <row r="306">
      <c r="A306" s="118" t="s">
        <v>184</v>
      </c>
      <c r="B306" s="117" t="s">
        <v>221</v>
      </c>
      <c r="C306" s="117" t="s">
        <v>222</v>
      </c>
      <c r="D306" s="117" t="s">
        <v>289</v>
      </c>
      <c r="E306" s="117" t="s">
        <v>328</v>
      </c>
      <c r="F306" s="117" t="s">
        <v>153</v>
      </c>
      <c r="G306" s="117" t="s">
        <v>184</v>
      </c>
      <c r="H306" s="117" t="s">
        <v>285</v>
      </c>
    </row>
    <row r="307">
      <c r="A307" s="169"/>
      <c r="B307" s="169"/>
      <c r="C307" s="169"/>
      <c r="D307" s="169"/>
      <c r="E307" s="169"/>
      <c r="F307" s="169"/>
      <c r="G307" s="169"/>
      <c r="H307" s="169"/>
    </row>
    <row r="308">
      <c r="A308" s="187" t="s">
        <v>1856</v>
      </c>
      <c r="B308" s="171"/>
      <c r="C308" s="171"/>
      <c r="D308" s="171"/>
      <c r="E308" s="171"/>
      <c r="F308" s="171"/>
      <c r="G308" s="169"/>
      <c r="H308" s="169"/>
    </row>
    <row r="309">
      <c r="A309" s="185" t="s">
        <v>1857</v>
      </c>
      <c r="B309" s="186" t="s">
        <v>1858</v>
      </c>
      <c r="C309" s="186" t="s">
        <v>1859</v>
      </c>
      <c r="D309" s="186" t="s">
        <v>1860</v>
      </c>
      <c r="E309" s="186" t="s">
        <v>1861</v>
      </c>
      <c r="F309" s="186" t="s">
        <v>1862</v>
      </c>
      <c r="G309" s="169"/>
      <c r="H309" s="169"/>
    </row>
    <row r="310">
      <c r="A310" s="118" t="s">
        <v>125</v>
      </c>
      <c r="B310" s="117" t="s">
        <v>97</v>
      </c>
      <c r="C310" s="117" t="s">
        <v>188</v>
      </c>
      <c r="D310" s="117" t="s">
        <v>234</v>
      </c>
      <c r="E310" s="117" t="s">
        <v>86</v>
      </c>
      <c r="F310" s="117" t="s">
        <v>274</v>
      </c>
      <c r="G310" s="169"/>
      <c r="H310" s="169"/>
    </row>
    <row r="311">
      <c r="A311" s="118" t="s">
        <v>214</v>
      </c>
      <c r="B311" s="117" t="s">
        <v>115</v>
      </c>
      <c r="C311" s="117" t="s">
        <v>222</v>
      </c>
      <c r="D311" s="117" t="s">
        <v>142</v>
      </c>
      <c r="E311" s="117" t="s">
        <v>289</v>
      </c>
      <c r="F311" s="117" t="s">
        <v>184</v>
      </c>
      <c r="G311" s="169"/>
      <c r="H311" s="169"/>
    </row>
    <row r="312">
      <c r="A312" s="118" t="s">
        <v>222</v>
      </c>
      <c r="B312" s="117" t="s">
        <v>105</v>
      </c>
      <c r="C312" s="117" t="s">
        <v>221</v>
      </c>
      <c r="D312" s="117" t="s">
        <v>289</v>
      </c>
      <c r="E312" s="117" t="s">
        <v>234</v>
      </c>
      <c r="F312" s="117" t="s">
        <v>238</v>
      </c>
      <c r="G312" s="169"/>
      <c r="H312" s="169"/>
    </row>
    <row r="313">
      <c r="A313" s="118" t="s">
        <v>188</v>
      </c>
      <c r="B313" s="117" t="s">
        <v>188</v>
      </c>
      <c r="C313" s="117" t="s">
        <v>184</v>
      </c>
      <c r="D313" s="117" t="s">
        <v>221</v>
      </c>
      <c r="E313" s="117" t="s">
        <v>184</v>
      </c>
      <c r="F313" s="117" t="s">
        <v>397</v>
      </c>
      <c r="G313" s="169"/>
      <c r="H313" s="169"/>
    </row>
    <row r="314">
      <c r="A314" s="118" t="s">
        <v>397</v>
      </c>
      <c r="B314" s="117" t="s">
        <v>397</v>
      </c>
      <c r="C314" s="117" t="s">
        <v>100</v>
      </c>
      <c r="D314" s="117" t="s">
        <v>144</v>
      </c>
      <c r="E314" s="117" t="s">
        <v>144</v>
      </c>
      <c r="F314" s="117" t="s">
        <v>388</v>
      </c>
      <c r="G314" s="169"/>
      <c r="H314" s="169"/>
    </row>
    <row r="315">
      <c r="A315" s="118" t="s">
        <v>370</v>
      </c>
      <c r="B315" s="117" t="s">
        <v>184</v>
      </c>
      <c r="C315" s="117" t="s">
        <v>238</v>
      </c>
      <c r="D315" s="117" t="s">
        <v>213</v>
      </c>
      <c r="E315" s="117" t="s">
        <v>179</v>
      </c>
      <c r="F315" s="117" t="s">
        <v>100</v>
      </c>
      <c r="G315" s="169"/>
      <c r="H315" s="169"/>
    </row>
    <row r="316">
      <c r="A316" s="118" t="s">
        <v>223</v>
      </c>
      <c r="B316" s="117" t="s">
        <v>100</v>
      </c>
      <c r="C316" s="117" t="s">
        <v>310</v>
      </c>
      <c r="D316" s="117" t="s">
        <v>184</v>
      </c>
      <c r="E316" s="117" t="s">
        <v>213</v>
      </c>
      <c r="F316" s="117" t="s">
        <v>130</v>
      </c>
      <c r="G316" s="169"/>
      <c r="H316" s="169"/>
    </row>
    <row r="317">
      <c r="A317" s="118" t="s">
        <v>204</v>
      </c>
      <c r="B317" s="117" t="s">
        <v>221</v>
      </c>
      <c r="C317" s="117" t="s">
        <v>86</v>
      </c>
      <c r="D317" s="117" t="s">
        <v>179</v>
      </c>
      <c r="E317" s="117" t="s">
        <v>328</v>
      </c>
      <c r="F317" s="117" t="s">
        <v>310</v>
      </c>
      <c r="G317" s="169"/>
      <c r="H317" s="169"/>
    </row>
    <row r="318">
      <c r="A318" s="185" t="s">
        <v>1863</v>
      </c>
      <c r="B318" s="186" t="s">
        <v>1864</v>
      </c>
      <c r="C318" s="186" t="s">
        <v>1865</v>
      </c>
      <c r="D318" s="186" t="s">
        <v>1866</v>
      </c>
      <c r="E318" s="186" t="s">
        <v>1867</v>
      </c>
      <c r="F318" s="169"/>
      <c r="G318" s="169"/>
      <c r="H318" s="169"/>
    </row>
    <row r="319">
      <c r="A319" s="118" t="s">
        <v>222</v>
      </c>
      <c r="B319" s="117" t="s">
        <v>320</v>
      </c>
      <c r="C319" s="117" t="s">
        <v>147</v>
      </c>
      <c r="D319" s="117" t="s">
        <v>107</v>
      </c>
      <c r="E319" s="117" t="s">
        <v>213</v>
      </c>
      <c r="F319" s="169"/>
      <c r="G319" s="169"/>
      <c r="H319" s="169"/>
    </row>
    <row r="320">
      <c r="A320" s="118" t="s">
        <v>100</v>
      </c>
      <c r="B320" s="117" t="s">
        <v>282</v>
      </c>
      <c r="C320" s="117" t="s">
        <v>214</v>
      </c>
      <c r="D320" s="117" t="s">
        <v>234</v>
      </c>
      <c r="E320" s="117" t="s">
        <v>222</v>
      </c>
      <c r="F320" s="169"/>
      <c r="G320" s="169"/>
      <c r="H320" s="169"/>
    </row>
    <row r="321">
      <c r="A321" s="118" t="s">
        <v>93</v>
      </c>
      <c r="B321" s="117" t="s">
        <v>105</v>
      </c>
      <c r="C321" s="117" t="s">
        <v>192</v>
      </c>
      <c r="D321" s="117" t="s">
        <v>1846</v>
      </c>
      <c r="E321" s="117" t="s">
        <v>313</v>
      </c>
      <c r="F321" s="169"/>
      <c r="G321" s="169"/>
      <c r="H321" s="169"/>
    </row>
    <row r="322">
      <c r="A322" s="118" t="s">
        <v>221</v>
      </c>
      <c r="B322" s="117" t="s">
        <v>125</v>
      </c>
      <c r="C322" s="117" t="s">
        <v>221</v>
      </c>
      <c r="D322" s="117" t="s">
        <v>221</v>
      </c>
      <c r="E322" s="117" t="s">
        <v>1846</v>
      </c>
      <c r="F322" s="169"/>
      <c r="G322" s="169"/>
      <c r="H322" s="169"/>
    </row>
    <row r="323">
      <c r="A323" s="118" t="s">
        <v>201</v>
      </c>
      <c r="B323" s="117" t="s">
        <v>221</v>
      </c>
      <c r="C323" s="117" t="s">
        <v>229</v>
      </c>
      <c r="D323" s="117" t="s">
        <v>142</v>
      </c>
      <c r="E323" s="117" t="s">
        <v>184</v>
      </c>
      <c r="F323" s="169"/>
      <c r="G323" s="169"/>
      <c r="H323" s="169"/>
    </row>
    <row r="324">
      <c r="A324" s="118" t="s">
        <v>204</v>
      </c>
      <c r="B324" s="117" t="s">
        <v>204</v>
      </c>
      <c r="C324" s="117" t="s">
        <v>204</v>
      </c>
      <c r="D324" s="117" t="s">
        <v>184</v>
      </c>
      <c r="E324" s="117" t="s">
        <v>238</v>
      </c>
      <c r="F324" s="169"/>
      <c r="G324" s="169"/>
      <c r="H324" s="169"/>
    </row>
    <row r="325">
      <c r="A325" s="118" t="s">
        <v>142</v>
      </c>
      <c r="B325" s="117" t="s">
        <v>222</v>
      </c>
      <c r="C325" s="117" t="s">
        <v>397</v>
      </c>
      <c r="D325" s="117" t="s">
        <v>214</v>
      </c>
      <c r="E325" s="117" t="s">
        <v>144</v>
      </c>
      <c r="F325" s="169"/>
      <c r="G325" s="169"/>
      <c r="H325" s="169"/>
    </row>
    <row r="326">
      <c r="A326" s="118" t="s">
        <v>282</v>
      </c>
      <c r="B326" s="117" t="s">
        <v>201</v>
      </c>
      <c r="C326" s="117" t="s">
        <v>1846</v>
      </c>
      <c r="D326" s="117" t="s">
        <v>313</v>
      </c>
      <c r="E326" s="117" t="s">
        <v>100</v>
      </c>
      <c r="F326" s="169"/>
      <c r="G326" s="169"/>
      <c r="H326" s="169"/>
    </row>
    <row r="327">
      <c r="A327" s="169"/>
      <c r="B327" s="169"/>
      <c r="C327" s="169"/>
      <c r="D327" s="169"/>
      <c r="E327" s="169"/>
      <c r="F327" s="169"/>
      <c r="G327" s="169"/>
      <c r="H327" s="169"/>
    </row>
    <row r="328">
      <c r="A328" s="187" t="s">
        <v>1868</v>
      </c>
      <c r="B328" s="171"/>
      <c r="C328" s="171"/>
      <c r="D328" s="171"/>
      <c r="E328" s="171"/>
      <c r="F328" s="169"/>
      <c r="G328" s="169"/>
      <c r="H328" s="169"/>
    </row>
    <row r="329">
      <c r="A329" s="185" t="s">
        <v>1869</v>
      </c>
      <c r="B329" s="186" t="s">
        <v>1870</v>
      </c>
      <c r="C329" s="186" t="s">
        <v>1871</v>
      </c>
      <c r="D329" s="186" t="s">
        <v>1872</v>
      </c>
      <c r="E329" s="186" t="s">
        <v>1873</v>
      </c>
      <c r="F329" s="169"/>
      <c r="G329" s="169"/>
      <c r="H329" s="169"/>
    </row>
    <row r="330">
      <c r="A330" s="118" t="s">
        <v>222</v>
      </c>
      <c r="B330" s="117" t="s">
        <v>107</v>
      </c>
      <c r="C330" s="117" t="s">
        <v>397</v>
      </c>
      <c r="D330" s="117" t="s">
        <v>320</v>
      </c>
      <c r="E330" s="117" t="s">
        <v>153</v>
      </c>
      <c r="F330" s="169"/>
      <c r="G330" s="169"/>
      <c r="H330" s="169"/>
    </row>
    <row r="331">
      <c r="A331" s="118" t="s">
        <v>326</v>
      </c>
      <c r="B331" s="117" t="s">
        <v>300</v>
      </c>
      <c r="C331" s="117" t="s">
        <v>226</v>
      </c>
      <c r="D331" s="117" t="s">
        <v>212</v>
      </c>
      <c r="E331" s="117" t="s">
        <v>100</v>
      </c>
      <c r="F331" s="169"/>
      <c r="G331" s="169"/>
      <c r="H331" s="169"/>
    </row>
    <row r="332">
      <c r="A332" s="118" t="s">
        <v>130</v>
      </c>
      <c r="B332" s="117" t="s">
        <v>184</v>
      </c>
      <c r="C332" s="117" t="s">
        <v>178</v>
      </c>
      <c r="D332" s="117" t="s">
        <v>222</v>
      </c>
      <c r="E332" s="117" t="s">
        <v>188</v>
      </c>
      <c r="F332" s="169"/>
      <c r="G332" s="169"/>
      <c r="H332" s="169"/>
    </row>
    <row r="333">
      <c r="A333" s="118" t="s">
        <v>226</v>
      </c>
      <c r="B333" s="117" t="s">
        <v>226</v>
      </c>
      <c r="C333" s="117" t="s">
        <v>311</v>
      </c>
      <c r="D333" s="117" t="s">
        <v>229</v>
      </c>
      <c r="E333" s="117" t="s">
        <v>93</v>
      </c>
      <c r="F333" s="169"/>
      <c r="G333" s="169"/>
      <c r="H333" s="169"/>
    </row>
    <row r="334">
      <c r="A334" s="118" t="s">
        <v>310</v>
      </c>
      <c r="B334" s="117" t="s">
        <v>132</v>
      </c>
      <c r="C334" s="117" t="s">
        <v>230</v>
      </c>
      <c r="D334" s="117" t="s">
        <v>252</v>
      </c>
      <c r="E334" s="117" t="s">
        <v>97</v>
      </c>
      <c r="F334" s="169"/>
      <c r="G334" s="169"/>
      <c r="H334" s="169"/>
    </row>
    <row r="335">
      <c r="A335" s="118" t="s">
        <v>311</v>
      </c>
      <c r="B335" s="117" t="s">
        <v>147</v>
      </c>
      <c r="C335" s="117" t="s">
        <v>213</v>
      </c>
      <c r="D335" s="117" t="s">
        <v>180</v>
      </c>
      <c r="E335" s="117" t="s">
        <v>186</v>
      </c>
      <c r="F335" s="169"/>
      <c r="G335" s="169"/>
      <c r="H335" s="169"/>
    </row>
    <row r="336">
      <c r="A336" s="118" t="s">
        <v>397</v>
      </c>
      <c r="B336" s="117" t="s">
        <v>86</v>
      </c>
      <c r="C336" s="117" t="s">
        <v>234</v>
      </c>
      <c r="D336" s="117" t="s">
        <v>184</v>
      </c>
      <c r="E336" s="117" t="s">
        <v>184</v>
      </c>
      <c r="F336" s="169"/>
      <c r="G336" s="169"/>
      <c r="H336" s="169"/>
    </row>
    <row r="337">
      <c r="A337" s="118" t="s">
        <v>234</v>
      </c>
      <c r="B337" s="117" t="s">
        <v>252</v>
      </c>
      <c r="C337" s="117" t="s">
        <v>142</v>
      </c>
      <c r="D337" s="117" t="s">
        <v>389</v>
      </c>
      <c r="E337" s="117" t="s">
        <v>221</v>
      </c>
      <c r="F337" s="169"/>
      <c r="G337" s="169"/>
      <c r="H337" s="169"/>
    </row>
    <row r="338">
      <c r="A338" s="185" t="s">
        <v>1874</v>
      </c>
      <c r="B338" s="186" t="s">
        <v>1875</v>
      </c>
      <c r="C338" s="186" t="s">
        <v>1876</v>
      </c>
      <c r="D338" s="186" t="s">
        <v>1877</v>
      </c>
      <c r="E338" s="186" t="s">
        <v>1878</v>
      </c>
      <c r="F338" s="169"/>
      <c r="G338" s="169"/>
      <c r="H338" s="169"/>
    </row>
    <row r="339">
      <c r="A339" s="118" t="s">
        <v>274</v>
      </c>
      <c r="B339" s="117" t="s">
        <v>180</v>
      </c>
      <c r="C339" s="117" t="s">
        <v>222</v>
      </c>
      <c r="D339" s="117" t="s">
        <v>274</v>
      </c>
      <c r="E339" s="117" t="s">
        <v>184</v>
      </c>
      <c r="F339" s="169"/>
      <c r="G339" s="169"/>
      <c r="H339" s="169"/>
    </row>
    <row r="340">
      <c r="A340" s="118" t="s">
        <v>389</v>
      </c>
      <c r="B340" s="117" t="s">
        <v>278</v>
      </c>
      <c r="C340" s="117" t="s">
        <v>142</v>
      </c>
      <c r="D340" s="117" t="s">
        <v>388</v>
      </c>
      <c r="E340" s="117" t="s">
        <v>285</v>
      </c>
      <c r="F340" s="169"/>
      <c r="G340" s="169"/>
      <c r="H340" s="169"/>
    </row>
    <row r="341">
      <c r="A341" s="118" t="s">
        <v>388</v>
      </c>
      <c r="B341" s="117" t="s">
        <v>253</v>
      </c>
      <c r="C341" s="117" t="s">
        <v>397</v>
      </c>
      <c r="D341" s="117" t="s">
        <v>389</v>
      </c>
      <c r="E341" s="117" t="s">
        <v>303</v>
      </c>
      <c r="F341" s="169"/>
      <c r="G341" s="169"/>
      <c r="H341" s="169"/>
    </row>
    <row r="342">
      <c r="A342" s="118" t="s">
        <v>320</v>
      </c>
      <c r="B342" s="117" t="s">
        <v>186</v>
      </c>
      <c r="C342" s="117" t="s">
        <v>234</v>
      </c>
      <c r="D342" s="117" t="s">
        <v>230</v>
      </c>
      <c r="E342" s="117" t="s">
        <v>230</v>
      </c>
      <c r="F342" s="169"/>
      <c r="G342" s="169"/>
      <c r="H342" s="169"/>
    </row>
    <row r="343">
      <c r="A343" s="118" t="s">
        <v>184</v>
      </c>
      <c r="B343" s="117" t="s">
        <v>130</v>
      </c>
      <c r="C343" s="117" t="s">
        <v>398</v>
      </c>
      <c r="D343" s="117" t="s">
        <v>200</v>
      </c>
      <c r="E343" s="117" t="s">
        <v>180</v>
      </c>
      <c r="F343" s="169"/>
      <c r="G343" s="169"/>
      <c r="H343" s="169"/>
    </row>
    <row r="344">
      <c r="A344" s="118" t="s">
        <v>310</v>
      </c>
      <c r="B344" s="117" t="s">
        <v>303</v>
      </c>
      <c r="C344" s="117" t="s">
        <v>226</v>
      </c>
      <c r="D344" s="117" t="s">
        <v>184</v>
      </c>
      <c r="E344" s="117" t="s">
        <v>313</v>
      </c>
      <c r="F344" s="169"/>
      <c r="G344" s="169"/>
      <c r="H344" s="169"/>
    </row>
    <row r="345">
      <c r="A345" s="118" t="s">
        <v>142</v>
      </c>
      <c r="B345" s="117" t="s">
        <v>86</v>
      </c>
      <c r="C345" s="117" t="s">
        <v>313</v>
      </c>
      <c r="D345" s="117" t="s">
        <v>234</v>
      </c>
      <c r="E345" s="117" t="s">
        <v>238</v>
      </c>
      <c r="F345" s="169"/>
      <c r="G345" s="169"/>
      <c r="H345" s="169"/>
    </row>
    <row r="346">
      <c r="A346" s="118" t="s">
        <v>234</v>
      </c>
      <c r="B346" s="117" t="s">
        <v>184</v>
      </c>
      <c r="C346" s="117" t="s">
        <v>311</v>
      </c>
      <c r="D346" s="117" t="s">
        <v>142</v>
      </c>
      <c r="E346" s="117" t="s">
        <v>215</v>
      </c>
      <c r="F346" s="169"/>
      <c r="G346" s="169"/>
      <c r="H346" s="169"/>
    </row>
    <row r="347">
      <c r="A347" s="169"/>
      <c r="B347" s="169"/>
      <c r="C347" s="169"/>
      <c r="D347" s="169"/>
      <c r="E347" s="169"/>
      <c r="F347" s="169"/>
      <c r="G347" s="169"/>
      <c r="H347" s="169"/>
    </row>
    <row r="348">
      <c r="A348" s="187" t="s">
        <v>1879</v>
      </c>
      <c r="B348" s="171"/>
      <c r="C348" s="171"/>
      <c r="D348" s="171"/>
      <c r="E348" s="171"/>
      <c r="F348" s="171"/>
      <c r="G348" s="171"/>
      <c r="H348" s="171"/>
    </row>
    <row r="349">
      <c r="A349" s="185" t="s">
        <v>1880</v>
      </c>
      <c r="B349" s="186" t="s">
        <v>1881</v>
      </c>
      <c r="C349" s="186" t="s">
        <v>1882</v>
      </c>
      <c r="D349" s="186" t="s">
        <v>1883</v>
      </c>
      <c r="E349" s="186" t="s">
        <v>1884</v>
      </c>
      <c r="F349" s="186" t="s">
        <v>1885</v>
      </c>
      <c r="G349" s="186" t="s">
        <v>1886</v>
      </c>
      <c r="H349" s="186" t="s">
        <v>1887</v>
      </c>
    </row>
    <row r="350">
      <c r="A350" s="118" t="s">
        <v>129</v>
      </c>
      <c r="B350" s="117" t="s">
        <v>184</v>
      </c>
      <c r="C350" s="117" t="s">
        <v>126</v>
      </c>
      <c r="D350" s="117" t="s">
        <v>184</v>
      </c>
      <c r="E350" s="117" t="s">
        <v>253</v>
      </c>
      <c r="F350" s="117" t="s">
        <v>398</v>
      </c>
      <c r="G350" s="117" t="s">
        <v>300</v>
      </c>
      <c r="H350" s="117" t="s">
        <v>234</v>
      </c>
    </row>
    <row r="351">
      <c r="A351" s="118" t="s">
        <v>221</v>
      </c>
      <c r="B351" s="117" t="s">
        <v>147</v>
      </c>
      <c r="C351" s="117" t="s">
        <v>188</v>
      </c>
      <c r="D351" s="117" t="s">
        <v>188</v>
      </c>
      <c r="E351" s="117" t="s">
        <v>229</v>
      </c>
      <c r="F351" s="117" t="s">
        <v>186</v>
      </c>
      <c r="G351" s="117" t="s">
        <v>184</v>
      </c>
      <c r="H351" s="117" t="s">
        <v>221</v>
      </c>
    </row>
    <row r="352">
      <c r="A352" s="118" t="s">
        <v>212</v>
      </c>
      <c r="B352" s="117" t="s">
        <v>199</v>
      </c>
      <c r="C352" s="117" t="s">
        <v>226</v>
      </c>
      <c r="D352" s="117" t="s">
        <v>142</v>
      </c>
      <c r="E352" s="117" t="s">
        <v>204</v>
      </c>
      <c r="F352" s="117" t="s">
        <v>234</v>
      </c>
      <c r="G352" s="117" t="s">
        <v>229</v>
      </c>
      <c r="H352" s="117" t="s">
        <v>130</v>
      </c>
    </row>
    <row r="353">
      <c r="A353" s="118" t="s">
        <v>82</v>
      </c>
      <c r="B353" s="117" t="s">
        <v>115</v>
      </c>
      <c r="C353" s="117" t="s">
        <v>125</v>
      </c>
      <c r="D353" s="117" t="s">
        <v>310</v>
      </c>
      <c r="E353" s="117" t="s">
        <v>200</v>
      </c>
      <c r="F353" s="117" t="s">
        <v>113</v>
      </c>
      <c r="G353" s="117" t="s">
        <v>289</v>
      </c>
      <c r="H353" s="117" t="s">
        <v>184</v>
      </c>
    </row>
    <row r="354">
      <c r="A354" s="118" t="s">
        <v>180</v>
      </c>
      <c r="B354" s="117" t="s">
        <v>142</v>
      </c>
      <c r="C354" s="117" t="s">
        <v>142</v>
      </c>
      <c r="D354" s="117" t="s">
        <v>389</v>
      </c>
      <c r="E354" s="117" t="s">
        <v>147</v>
      </c>
      <c r="F354" s="117" t="s">
        <v>115</v>
      </c>
      <c r="G354" s="117" t="s">
        <v>179</v>
      </c>
      <c r="H354" s="117" t="s">
        <v>215</v>
      </c>
    </row>
    <row r="355">
      <c r="A355" s="118" t="s">
        <v>222</v>
      </c>
      <c r="B355" s="117" t="s">
        <v>222</v>
      </c>
      <c r="C355" s="117" t="s">
        <v>199</v>
      </c>
      <c r="D355" s="117" t="s">
        <v>130</v>
      </c>
      <c r="E355" s="117" t="s">
        <v>199</v>
      </c>
      <c r="F355" s="117" t="s">
        <v>238</v>
      </c>
      <c r="G355" s="117" t="s">
        <v>234</v>
      </c>
      <c r="H355" s="117" t="s">
        <v>388</v>
      </c>
    </row>
    <row r="356">
      <c r="A356" s="118" t="s">
        <v>388</v>
      </c>
      <c r="B356" s="117" t="s">
        <v>188</v>
      </c>
      <c r="C356" s="117" t="s">
        <v>397</v>
      </c>
      <c r="D356" s="117" t="s">
        <v>102</v>
      </c>
      <c r="E356" s="117" t="s">
        <v>308</v>
      </c>
      <c r="F356" s="117" t="s">
        <v>184</v>
      </c>
      <c r="G356" s="117" t="s">
        <v>186</v>
      </c>
      <c r="H356" s="117" t="s">
        <v>142</v>
      </c>
    </row>
    <row r="357">
      <c r="A357" s="118" t="s">
        <v>398</v>
      </c>
      <c r="B357" s="117" t="s">
        <v>300</v>
      </c>
      <c r="C357" s="117" t="s">
        <v>204</v>
      </c>
      <c r="D357" s="117" t="s">
        <v>100</v>
      </c>
      <c r="E357" s="117" t="s">
        <v>326</v>
      </c>
      <c r="F357" s="117" t="s">
        <v>180</v>
      </c>
      <c r="G357" s="117" t="s">
        <v>180</v>
      </c>
      <c r="H357" s="117" t="s">
        <v>320</v>
      </c>
    </row>
    <row r="358">
      <c r="A358" s="188"/>
      <c r="B358" s="188"/>
      <c r="C358" s="188"/>
      <c r="D358" s="188"/>
      <c r="E358" s="188"/>
      <c r="F358" s="188"/>
      <c r="G358" s="188"/>
      <c r="H358" s="18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4" width="22.43"/>
  </cols>
  <sheetData>
    <row r="1">
      <c r="A1" s="183" t="s">
        <v>1581</v>
      </c>
      <c r="B1" s="169"/>
      <c r="C1" s="169"/>
      <c r="D1" s="169"/>
    </row>
    <row r="2">
      <c r="A2" s="189" t="s">
        <v>1888</v>
      </c>
      <c r="B2" s="190"/>
      <c r="C2" s="171"/>
      <c r="D2" s="171"/>
    </row>
    <row r="3">
      <c r="A3" s="185" t="s">
        <v>1696</v>
      </c>
      <c r="B3" s="186" t="s">
        <v>1889</v>
      </c>
      <c r="C3" s="191" t="s">
        <v>1890</v>
      </c>
      <c r="D3" s="54"/>
    </row>
    <row r="4">
      <c r="A4" s="175">
        <v>0.0</v>
      </c>
      <c r="B4" s="192" t="s">
        <v>1891</v>
      </c>
      <c r="C4" s="53"/>
      <c r="D4" s="54"/>
    </row>
    <row r="5">
      <c r="A5" s="118">
        <v>50.0</v>
      </c>
      <c r="B5" s="117">
        <v>10.0</v>
      </c>
      <c r="C5" s="193" t="s">
        <v>115</v>
      </c>
      <c r="D5" s="193" t="s">
        <v>113</v>
      </c>
    </row>
    <row r="6">
      <c r="A6" s="118">
        <v>100.0</v>
      </c>
      <c r="B6" s="117">
        <v>1.0</v>
      </c>
      <c r="C6" s="194" t="s">
        <v>1892</v>
      </c>
      <c r="D6" s="54"/>
    </row>
    <row r="7">
      <c r="A7" s="118">
        <v>150.0</v>
      </c>
      <c r="B7" s="117">
        <v>4.0</v>
      </c>
      <c r="C7" s="195" t="s">
        <v>116</v>
      </c>
      <c r="D7" s="195" t="s">
        <v>100</v>
      </c>
    </row>
    <row r="8">
      <c r="A8" s="118">
        <v>200.0</v>
      </c>
      <c r="B8" s="117">
        <v>200.0</v>
      </c>
      <c r="C8" s="196" t="s">
        <v>1893</v>
      </c>
      <c r="D8" s="54"/>
    </row>
    <row r="9">
      <c r="A9" s="118">
        <v>250.0</v>
      </c>
      <c r="B9" s="117">
        <v>1.0</v>
      </c>
      <c r="C9" s="194" t="s">
        <v>1892</v>
      </c>
      <c r="D9" s="54"/>
    </row>
    <row r="10">
      <c r="A10" s="175">
        <v>300.0</v>
      </c>
      <c r="B10" s="192" t="s">
        <v>1894</v>
      </c>
      <c r="C10" s="53"/>
      <c r="D10" s="54"/>
    </row>
    <row r="11">
      <c r="A11" s="118">
        <v>350.0</v>
      </c>
      <c r="B11" s="117">
        <v>25.0</v>
      </c>
      <c r="C11" s="193" t="s">
        <v>125</v>
      </c>
      <c r="D11" s="193" t="s">
        <v>123</v>
      </c>
    </row>
    <row r="12">
      <c r="A12" s="118">
        <v>400.0</v>
      </c>
      <c r="B12" s="117">
        <v>1.0</v>
      </c>
      <c r="C12" s="194" t="s">
        <v>1895</v>
      </c>
      <c r="D12" s="54"/>
    </row>
    <row r="13">
      <c r="A13" s="118">
        <v>450.0</v>
      </c>
      <c r="B13" s="117">
        <v>6.0</v>
      </c>
      <c r="C13" s="197" t="s">
        <v>126</v>
      </c>
      <c r="D13" s="197" t="s">
        <v>129</v>
      </c>
    </row>
    <row r="14">
      <c r="A14" s="118">
        <v>500.0</v>
      </c>
      <c r="B14" s="117">
        <v>400.0</v>
      </c>
      <c r="C14" s="196" t="s">
        <v>1893</v>
      </c>
      <c r="D14" s="54"/>
    </row>
    <row r="15">
      <c r="A15" s="118">
        <v>550.0</v>
      </c>
      <c r="B15" s="117">
        <v>1.0</v>
      </c>
      <c r="C15" s="198" t="s">
        <v>132</v>
      </c>
      <c r="D15" s="198" t="s">
        <v>130</v>
      </c>
    </row>
    <row r="16">
      <c r="A16" s="175">
        <v>600.0</v>
      </c>
      <c r="B16" s="192" t="s">
        <v>1896</v>
      </c>
      <c r="C16" s="53"/>
      <c r="D16" s="54"/>
    </row>
    <row r="17">
      <c r="A17" s="118">
        <v>650.0</v>
      </c>
      <c r="B17" s="117">
        <v>50.0</v>
      </c>
      <c r="C17" s="193" t="s">
        <v>139</v>
      </c>
      <c r="D17" s="193" t="s">
        <v>136</v>
      </c>
    </row>
    <row r="18">
      <c r="A18" s="118">
        <v>700.0</v>
      </c>
      <c r="B18" s="117">
        <v>1.0</v>
      </c>
      <c r="C18" s="194" t="s">
        <v>1897</v>
      </c>
      <c r="D18" s="54"/>
    </row>
    <row r="19">
      <c r="A19" s="118">
        <v>750.0</v>
      </c>
      <c r="B19" s="117">
        <v>8.0</v>
      </c>
      <c r="C19" s="197" t="s">
        <v>144</v>
      </c>
      <c r="D19" s="195" t="s">
        <v>142</v>
      </c>
    </row>
    <row r="20">
      <c r="A20" s="118">
        <v>800.0</v>
      </c>
      <c r="B20" s="117">
        <v>600.0</v>
      </c>
      <c r="C20" s="196" t="s">
        <v>1893</v>
      </c>
      <c r="D20" s="54"/>
    </row>
    <row r="21">
      <c r="A21" s="118">
        <v>850.0</v>
      </c>
      <c r="B21" s="117">
        <v>1.0</v>
      </c>
      <c r="C21" s="198" t="s">
        <v>145</v>
      </c>
      <c r="D21" s="198" t="s">
        <v>147</v>
      </c>
    </row>
    <row r="22">
      <c r="A22" s="118">
        <v>900.0</v>
      </c>
      <c r="B22" s="117">
        <v>50.0</v>
      </c>
      <c r="C22" s="199" t="s">
        <v>1898</v>
      </c>
      <c r="D22" s="54"/>
    </row>
    <row r="23">
      <c r="A23" s="118">
        <v>950.0</v>
      </c>
      <c r="B23" s="117">
        <v>1.0</v>
      </c>
      <c r="C23" s="200" t="s">
        <v>1899</v>
      </c>
      <c r="D23" s="54"/>
    </row>
    <row r="24">
      <c r="A24" s="175">
        <v>1000.0</v>
      </c>
      <c r="B24" s="192" t="s">
        <v>1900</v>
      </c>
      <c r="C24" s="53"/>
      <c r="D24" s="54"/>
    </row>
    <row r="25">
      <c r="A25" s="118">
        <v>1050.0</v>
      </c>
      <c r="B25" s="117">
        <v>50.0</v>
      </c>
      <c r="C25" s="201" t="s">
        <v>1901</v>
      </c>
      <c r="D25" s="54"/>
    </row>
    <row r="26">
      <c r="A26" s="118">
        <v>1100.0</v>
      </c>
      <c r="B26" s="117">
        <v>1.0</v>
      </c>
      <c r="C26" s="194" t="s">
        <v>1902</v>
      </c>
      <c r="D26" s="54"/>
    </row>
    <row r="27">
      <c r="A27" s="118">
        <v>1150.0</v>
      </c>
      <c r="B27" s="117">
        <v>10.0</v>
      </c>
      <c r="C27" s="197" t="s">
        <v>153</v>
      </c>
      <c r="D27" s="195" t="s">
        <v>177</v>
      </c>
    </row>
    <row r="28">
      <c r="A28" s="118">
        <v>1200.0</v>
      </c>
      <c r="B28" s="117">
        <v>800.0</v>
      </c>
      <c r="C28" s="196" t="s">
        <v>1893</v>
      </c>
      <c r="D28" s="54"/>
    </row>
    <row r="29">
      <c r="A29" s="118">
        <v>1250.0</v>
      </c>
      <c r="B29" s="117">
        <v>1.0</v>
      </c>
      <c r="C29" s="202" t="s">
        <v>179</v>
      </c>
      <c r="D29" s="198" t="s">
        <v>178</v>
      </c>
    </row>
    <row r="30">
      <c r="A30" s="175">
        <v>1300.0</v>
      </c>
      <c r="B30" s="192" t="s">
        <v>1903</v>
      </c>
      <c r="C30" s="53"/>
      <c r="D30" s="54"/>
    </row>
    <row r="31">
      <c r="A31" s="118">
        <v>1350.0</v>
      </c>
      <c r="B31" s="117">
        <v>50.0</v>
      </c>
      <c r="C31" s="203" t="s">
        <v>184</v>
      </c>
      <c r="D31" s="193" t="s">
        <v>186</v>
      </c>
    </row>
    <row r="32">
      <c r="A32" s="118">
        <v>1400.0</v>
      </c>
      <c r="B32" s="117">
        <v>1.0</v>
      </c>
      <c r="C32" s="204" t="s">
        <v>1904</v>
      </c>
      <c r="D32" s="54"/>
    </row>
    <row r="33">
      <c r="A33" s="118">
        <v>1450.0</v>
      </c>
      <c r="B33" s="117">
        <v>10.0</v>
      </c>
      <c r="C33" s="205" t="s">
        <v>1905</v>
      </c>
      <c r="D33" s="54"/>
    </row>
    <row r="34">
      <c r="A34" s="118">
        <v>1500.0</v>
      </c>
      <c r="B34" s="117">
        <v>1000.0</v>
      </c>
      <c r="C34" s="196" t="s">
        <v>1893</v>
      </c>
      <c r="D34" s="54"/>
    </row>
    <row r="35">
      <c r="A35" s="118">
        <v>1550.0</v>
      </c>
      <c r="B35" s="117">
        <v>1.0</v>
      </c>
      <c r="C35" s="198" t="s">
        <v>190</v>
      </c>
      <c r="D35" s="198" t="s">
        <v>189</v>
      </c>
    </row>
    <row r="36">
      <c r="A36" s="175">
        <v>1600.0</v>
      </c>
      <c r="B36" s="192" t="s">
        <v>1906</v>
      </c>
      <c r="C36" s="53"/>
      <c r="D36" s="54"/>
    </row>
    <row r="37">
      <c r="A37" s="118">
        <v>1650.0</v>
      </c>
      <c r="B37" s="117">
        <v>50.0</v>
      </c>
      <c r="C37" s="201" t="s">
        <v>1901</v>
      </c>
      <c r="D37" s="54"/>
    </row>
    <row r="38">
      <c r="A38" s="118">
        <v>1700.0</v>
      </c>
      <c r="B38" s="117">
        <v>1.0</v>
      </c>
      <c r="C38" s="194" t="s">
        <v>1907</v>
      </c>
      <c r="D38" s="54"/>
    </row>
    <row r="39">
      <c r="A39" s="118">
        <v>1750.0</v>
      </c>
      <c r="B39" s="117">
        <v>10.0</v>
      </c>
      <c r="C39" s="197" t="s">
        <v>200</v>
      </c>
      <c r="D39" s="197" t="s">
        <v>199</v>
      </c>
    </row>
    <row r="40">
      <c r="A40" s="118">
        <v>1800.0</v>
      </c>
      <c r="B40" s="117">
        <v>1250.0</v>
      </c>
      <c r="C40" s="196" t="s">
        <v>1893</v>
      </c>
      <c r="D40" s="54"/>
    </row>
    <row r="41">
      <c r="A41" s="118">
        <v>1850.0</v>
      </c>
      <c r="B41" s="117">
        <v>1.0</v>
      </c>
      <c r="C41" s="202" t="s">
        <v>201</v>
      </c>
      <c r="D41" s="202" t="s">
        <v>203</v>
      </c>
    </row>
    <row r="42">
      <c r="A42" s="118">
        <v>1900.0</v>
      </c>
      <c r="B42" s="117">
        <v>1500.0</v>
      </c>
      <c r="C42" s="196" t="s">
        <v>1893</v>
      </c>
      <c r="D42" s="54"/>
    </row>
    <row r="43">
      <c r="A43" s="118">
        <v>1950.0</v>
      </c>
      <c r="B43" s="117">
        <v>1.0</v>
      </c>
      <c r="C43" s="206" t="s">
        <v>1908</v>
      </c>
      <c r="D43" s="54"/>
    </row>
    <row r="44">
      <c r="A44" s="175">
        <v>2000.0</v>
      </c>
      <c r="B44" s="192" t="s">
        <v>1909</v>
      </c>
      <c r="C44" s="53"/>
      <c r="D44" s="54"/>
    </row>
    <row r="45">
      <c r="A45" s="118">
        <v>2050.0</v>
      </c>
      <c r="B45" s="117">
        <v>50.0</v>
      </c>
      <c r="C45" s="193" t="s">
        <v>209</v>
      </c>
      <c r="D45" s="193" t="s">
        <v>207</v>
      </c>
    </row>
    <row r="46">
      <c r="A46" s="118">
        <v>2100.0</v>
      </c>
      <c r="B46" s="117">
        <v>1.0</v>
      </c>
      <c r="C46" s="194" t="s">
        <v>1910</v>
      </c>
      <c r="D46" s="54"/>
    </row>
    <row r="47">
      <c r="A47" s="118">
        <v>2150.0</v>
      </c>
      <c r="B47" s="117">
        <v>10.0</v>
      </c>
      <c r="C47" s="197" t="s">
        <v>212</v>
      </c>
      <c r="D47" s="195" t="s">
        <v>210</v>
      </c>
    </row>
    <row r="48">
      <c r="A48" s="118">
        <v>2200.0</v>
      </c>
      <c r="B48" s="117">
        <v>1.0</v>
      </c>
      <c r="C48" s="207" t="s">
        <v>1911</v>
      </c>
      <c r="D48" s="54"/>
    </row>
    <row r="49">
      <c r="A49" s="118">
        <v>2250.0</v>
      </c>
      <c r="B49" s="117">
        <v>2.0</v>
      </c>
      <c r="C49" s="208" t="s">
        <v>1912</v>
      </c>
      <c r="D49" s="54"/>
    </row>
    <row r="50">
      <c r="A50" s="175">
        <v>2300.0</v>
      </c>
      <c r="B50" s="192" t="s">
        <v>1913</v>
      </c>
      <c r="C50" s="53"/>
      <c r="D50" s="54"/>
    </row>
    <row r="51">
      <c r="A51" s="118">
        <v>2350.0</v>
      </c>
      <c r="B51" s="117">
        <v>50.0</v>
      </c>
      <c r="C51" s="203" t="s">
        <v>221</v>
      </c>
      <c r="D51" s="203" t="s">
        <v>219</v>
      </c>
    </row>
    <row r="52">
      <c r="A52" s="118">
        <v>2400.0</v>
      </c>
      <c r="B52" s="117">
        <v>1.0</v>
      </c>
      <c r="C52" s="209" t="s">
        <v>1914</v>
      </c>
      <c r="D52" s="54"/>
    </row>
    <row r="53">
      <c r="A53" s="118">
        <v>2450.0</v>
      </c>
      <c r="B53" s="117">
        <v>10.0</v>
      </c>
      <c r="C53" s="205" t="s">
        <v>1905</v>
      </c>
      <c r="D53" s="54"/>
    </row>
    <row r="54">
      <c r="A54" s="118">
        <v>2500.0</v>
      </c>
      <c r="B54" s="117">
        <v>1750.0</v>
      </c>
      <c r="C54" s="196" t="s">
        <v>1893</v>
      </c>
      <c r="D54" s="54"/>
    </row>
    <row r="55">
      <c r="A55" s="118">
        <v>2550.0</v>
      </c>
      <c r="B55" s="117">
        <v>2.0</v>
      </c>
      <c r="C55" s="198" t="s">
        <v>224</v>
      </c>
      <c r="D55" s="198" t="s">
        <v>223</v>
      </c>
    </row>
    <row r="56">
      <c r="A56" s="175">
        <v>2600.0</v>
      </c>
      <c r="B56" s="192" t="s">
        <v>1915</v>
      </c>
      <c r="C56" s="53"/>
      <c r="D56" s="54"/>
    </row>
    <row r="57">
      <c r="A57" s="118">
        <v>2650.0</v>
      </c>
      <c r="B57" s="117">
        <v>50.0</v>
      </c>
      <c r="C57" s="201" t="s">
        <v>1901</v>
      </c>
      <c r="D57" s="54"/>
    </row>
    <row r="58">
      <c r="A58" s="118">
        <v>2700.0</v>
      </c>
      <c r="B58" s="117">
        <v>1.0</v>
      </c>
      <c r="C58" s="194" t="s">
        <v>1916</v>
      </c>
      <c r="D58" s="54"/>
    </row>
    <row r="59">
      <c r="A59" s="118">
        <v>2750.0</v>
      </c>
      <c r="B59" s="117">
        <v>10.0</v>
      </c>
      <c r="C59" s="197" t="s">
        <v>232</v>
      </c>
      <c r="D59" s="195" t="s">
        <v>230</v>
      </c>
    </row>
    <row r="60">
      <c r="A60" s="118">
        <v>2800.0</v>
      </c>
      <c r="B60" s="117">
        <v>2000.0</v>
      </c>
      <c r="C60" s="196" t="s">
        <v>1893</v>
      </c>
      <c r="D60" s="54"/>
    </row>
    <row r="61">
      <c r="A61" s="118">
        <v>2850.0</v>
      </c>
      <c r="B61" s="117">
        <v>2.0</v>
      </c>
      <c r="C61" s="210" t="s">
        <v>236</v>
      </c>
      <c r="D61" s="211" t="s">
        <v>234</v>
      </c>
    </row>
    <row r="62">
      <c r="A62" s="118">
        <v>2900.0</v>
      </c>
      <c r="B62" s="117">
        <v>50.0</v>
      </c>
      <c r="C62" s="199" t="s">
        <v>1898</v>
      </c>
      <c r="D62" s="54"/>
    </row>
    <row r="63">
      <c r="A63" s="118">
        <v>2950.0</v>
      </c>
      <c r="B63" s="117">
        <v>1.0</v>
      </c>
      <c r="C63" s="200" t="s">
        <v>1917</v>
      </c>
      <c r="D63" s="54"/>
    </row>
    <row r="64">
      <c r="A64" s="175">
        <v>3000.0</v>
      </c>
      <c r="B64" s="192" t="s">
        <v>1918</v>
      </c>
      <c r="C64" s="53"/>
      <c r="D64" s="54"/>
    </row>
    <row r="65">
      <c r="A65" s="118">
        <v>3050.0</v>
      </c>
      <c r="B65" s="117">
        <v>50.0</v>
      </c>
      <c r="C65" s="212" t="s">
        <v>251</v>
      </c>
      <c r="D65" s="213" t="s">
        <v>252</v>
      </c>
    </row>
    <row r="66">
      <c r="A66" s="118">
        <v>3100.0</v>
      </c>
      <c r="B66" s="117">
        <v>1.0</v>
      </c>
      <c r="C66" s="214" t="s">
        <v>1919</v>
      </c>
      <c r="D66" s="54"/>
    </row>
    <row r="67">
      <c r="A67" s="118">
        <v>3150.0</v>
      </c>
      <c r="B67" s="117">
        <v>10.0</v>
      </c>
      <c r="C67" s="205" t="s">
        <v>1905</v>
      </c>
      <c r="D67" s="54"/>
    </row>
    <row r="68">
      <c r="A68" s="118">
        <v>3200.0</v>
      </c>
      <c r="B68" s="117">
        <v>2250.0</v>
      </c>
      <c r="C68" s="196" t="s">
        <v>1893</v>
      </c>
      <c r="D68" s="54"/>
    </row>
    <row r="69">
      <c r="A69" s="118">
        <v>3250.0</v>
      </c>
      <c r="B69" s="117">
        <v>2.0</v>
      </c>
      <c r="C69" s="198" t="s">
        <v>274</v>
      </c>
      <c r="D69" s="198" t="s">
        <v>256</v>
      </c>
    </row>
    <row r="70">
      <c r="A70" s="175">
        <v>3300.0</v>
      </c>
      <c r="B70" s="176">
        <v>2500.0</v>
      </c>
      <c r="C70" s="196" t="s">
        <v>1893</v>
      </c>
      <c r="D70" s="54"/>
    </row>
    <row r="71">
      <c r="A71" s="118">
        <v>3350.0</v>
      </c>
      <c r="B71" s="176">
        <v>1.0</v>
      </c>
      <c r="C71" s="215" t="s">
        <v>1920</v>
      </c>
      <c r="D71" s="54"/>
    </row>
    <row r="72">
      <c r="A72" s="118">
        <v>3400.0</v>
      </c>
      <c r="B72" s="192" t="s">
        <v>1921</v>
      </c>
      <c r="C72" s="53"/>
      <c r="D72" s="54"/>
    </row>
    <row r="73">
      <c r="A73" s="118">
        <v>3450.0</v>
      </c>
      <c r="B73" s="117">
        <v>50.0</v>
      </c>
      <c r="C73" s="213" t="s">
        <v>284</v>
      </c>
      <c r="D73" s="212" t="s">
        <v>282</v>
      </c>
    </row>
    <row r="74">
      <c r="A74" s="118">
        <v>3500.0</v>
      </c>
      <c r="B74" s="117">
        <v>1.0</v>
      </c>
      <c r="C74" s="216" t="s">
        <v>1922</v>
      </c>
      <c r="D74" s="54"/>
    </row>
    <row r="75">
      <c r="A75" s="118">
        <v>3550.0</v>
      </c>
      <c r="B75" s="117">
        <v>10.0</v>
      </c>
      <c r="C75" s="217" t="s">
        <v>1905</v>
      </c>
      <c r="D75" s="15"/>
    </row>
    <row r="76">
      <c r="A76" s="175">
        <v>3600.0</v>
      </c>
      <c r="B76" s="176">
        <v>2750.0</v>
      </c>
      <c r="C76" s="196" t="s">
        <v>1893</v>
      </c>
      <c r="D76" s="54"/>
    </row>
    <row r="77">
      <c r="A77" s="118">
        <v>3650.0</v>
      </c>
      <c r="B77" s="117">
        <v>2.0</v>
      </c>
      <c r="C77" s="198" t="s">
        <v>287</v>
      </c>
      <c r="D77" s="198" t="s">
        <v>288</v>
      </c>
    </row>
    <row r="78">
      <c r="A78" s="118">
        <v>3700.0</v>
      </c>
      <c r="B78" s="117">
        <v>3000.0</v>
      </c>
      <c r="C78" s="196" t="s">
        <v>1893</v>
      </c>
      <c r="D78" s="54"/>
    </row>
    <row r="79">
      <c r="A79" s="118">
        <v>3750.0</v>
      </c>
      <c r="B79" s="117">
        <v>1.0</v>
      </c>
      <c r="C79" s="208" t="s">
        <v>1923</v>
      </c>
      <c r="D79" s="54"/>
    </row>
    <row r="80">
      <c r="A80" s="118">
        <v>3800.0</v>
      </c>
      <c r="B80" s="192" t="s">
        <v>1924</v>
      </c>
      <c r="C80" s="53"/>
      <c r="D80" s="54"/>
    </row>
    <row r="81">
      <c r="A81" s="118">
        <v>3850.0</v>
      </c>
      <c r="B81" s="117">
        <v>50.0</v>
      </c>
      <c r="C81" s="201" t="s">
        <v>1901</v>
      </c>
      <c r="D81" s="54"/>
    </row>
    <row r="82">
      <c r="A82" s="118">
        <v>3900.0</v>
      </c>
      <c r="B82" s="176">
        <v>3250.0</v>
      </c>
      <c r="C82" s="196" t="s">
        <v>1893</v>
      </c>
      <c r="D82" s="54"/>
    </row>
    <row r="83">
      <c r="A83" s="118">
        <v>3950.0</v>
      </c>
      <c r="B83" s="117">
        <v>10.0</v>
      </c>
      <c r="C83" s="218" t="s">
        <v>306</v>
      </c>
      <c r="D83" s="218" t="s">
        <v>305</v>
      </c>
    </row>
    <row r="84">
      <c r="A84" s="118">
        <v>4000.0</v>
      </c>
      <c r="B84" s="117">
        <v>1.0</v>
      </c>
      <c r="C84" s="207" t="s">
        <v>1911</v>
      </c>
      <c r="D84" s="54"/>
    </row>
    <row r="85">
      <c r="A85" s="118">
        <v>4050.0</v>
      </c>
      <c r="B85" s="117">
        <v>2.0</v>
      </c>
      <c r="C85" s="198" t="s">
        <v>310</v>
      </c>
      <c r="D85" s="202" t="s">
        <v>308</v>
      </c>
    </row>
    <row r="86">
      <c r="A86" s="118">
        <v>4100.0</v>
      </c>
      <c r="B86" s="176">
        <v>3500.0</v>
      </c>
      <c r="C86" s="196" t="s">
        <v>1893</v>
      </c>
      <c r="D86" s="54"/>
    </row>
    <row r="87">
      <c r="A87" s="118">
        <v>4150.0</v>
      </c>
      <c r="B87" s="117">
        <v>1.0</v>
      </c>
      <c r="C87" s="219" t="s">
        <v>1925</v>
      </c>
      <c r="D87" s="54"/>
    </row>
    <row r="88">
      <c r="A88" s="118">
        <v>4200.0</v>
      </c>
      <c r="B88" s="192" t="s">
        <v>1926</v>
      </c>
      <c r="C88" s="53"/>
      <c r="D88" s="54"/>
    </row>
    <row r="89">
      <c r="A89" s="118">
        <v>4250.0</v>
      </c>
      <c r="B89" s="176">
        <v>100.0</v>
      </c>
      <c r="C89" s="213" t="s">
        <v>316</v>
      </c>
      <c r="D89" s="213" t="s">
        <v>303</v>
      </c>
    </row>
    <row r="90">
      <c r="A90" s="118">
        <v>4300.0</v>
      </c>
      <c r="B90" s="176">
        <v>1.0</v>
      </c>
      <c r="C90" s="216" t="s">
        <v>1927</v>
      </c>
      <c r="D90" s="54"/>
    </row>
    <row r="91">
      <c r="A91" s="118">
        <v>4350.0</v>
      </c>
      <c r="B91" s="176">
        <v>3750.0</v>
      </c>
      <c r="C91" s="196" t="s">
        <v>1893</v>
      </c>
      <c r="D91" s="54"/>
    </row>
    <row r="92">
      <c r="A92" s="118">
        <v>4400.0</v>
      </c>
      <c r="B92" s="176">
        <v>15.0</v>
      </c>
      <c r="C92" s="218" t="s">
        <v>1836</v>
      </c>
      <c r="D92" s="218" t="s">
        <v>320</v>
      </c>
    </row>
    <row r="93">
      <c r="A93" s="118">
        <v>4450.0</v>
      </c>
      <c r="B93" s="176">
        <v>4000.0</v>
      </c>
      <c r="C93" s="196" t="s">
        <v>1893</v>
      </c>
      <c r="D93" s="54"/>
    </row>
    <row r="94">
      <c r="A94" s="118">
        <v>4500.0</v>
      </c>
      <c r="B94" s="176">
        <v>5.0</v>
      </c>
      <c r="C94" s="208" t="s">
        <v>1912</v>
      </c>
      <c r="D94" s="54"/>
    </row>
    <row r="95">
      <c r="A95" s="118">
        <v>4550.0</v>
      </c>
      <c r="B95" s="117">
        <v>1.0</v>
      </c>
      <c r="C95" s="220" t="s">
        <v>1928</v>
      </c>
      <c r="D95" s="54"/>
    </row>
    <row r="96">
      <c r="A96" s="118">
        <v>4600.0</v>
      </c>
      <c r="B96" s="192" t="s">
        <v>1929</v>
      </c>
      <c r="C96" s="53"/>
      <c r="D96" s="54"/>
    </row>
    <row r="97">
      <c r="A97" s="118">
        <v>4650.0</v>
      </c>
      <c r="B97" s="176">
        <v>100.0</v>
      </c>
      <c r="C97" s="201" t="s">
        <v>1901</v>
      </c>
      <c r="D97" s="54"/>
    </row>
    <row r="98">
      <c r="A98" s="118">
        <v>4700.0</v>
      </c>
      <c r="B98" s="117">
        <v>1.0</v>
      </c>
      <c r="C98" s="207" t="s">
        <v>1911</v>
      </c>
      <c r="D98" s="54"/>
    </row>
    <row r="99">
      <c r="A99" s="118">
        <v>4750.0</v>
      </c>
      <c r="B99" s="176">
        <v>4250.0</v>
      </c>
      <c r="C99" s="196" t="s">
        <v>1893</v>
      </c>
      <c r="D99" s="54"/>
    </row>
    <row r="100">
      <c r="A100" s="118">
        <v>4800.0</v>
      </c>
      <c r="B100" s="176">
        <v>15.0</v>
      </c>
      <c r="C100" s="218" t="s">
        <v>361</v>
      </c>
      <c r="D100" s="218" t="s">
        <v>358</v>
      </c>
    </row>
    <row r="101">
      <c r="A101" s="118">
        <v>4850.0</v>
      </c>
      <c r="B101" s="176">
        <v>4500.0</v>
      </c>
      <c r="C101" s="196" t="s">
        <v>1893</v>
      </c>
      <c r="D101" s="54"/>
    </row>
    <row r="102">
      <c r="A102" s="118">
        <v>4900.0</v>
      </c>
      <c r="B102" s="176">
        <v>5.0</v>
      </c>
      <c r="C102" s="198" t="s">
        <v>364</v>
      </c>
      <c r="D102" s="198" t="s">
        <v>370</v>
      </c>
    </row>
    <row r="103">
      <c r="A103" s="118">
        <v>4950.0</v>
      </c>
      <c r="B103" s="117">
        <v>1.0</v>
      </c>
      <c r="C103" s="221" t="s">
        <v>1930</v>
      </c>
      <c r="D103" s="54"/>
    </row>
    <row r="104">
      <c r="A104" s="175">
        <v>5000.0</v>
      </c>
      <c r="B104" s="192" t="s">
        <v>1931</v>
      </c>
      <c r="C104" s="53"/>
      <c r="D104" s="54"/>
    </row>
    <row r="105">
      <c r="A105" s="222" t="s">
        <v>1932</v>
      </c>
      <c r="B105" s="169"/>
      <c r="C105" s="169"/>
      <c r="D105" s="169"/>
    </row>
    <row r="106">
      <c r="A106" s="222" t="s">
        <v>1933</v>
      </c>
      <c r="B106" s="169"/>
      <c r="C106" s="169"/>
      <c r="D106" s="169"/>
    </row>
    <row r="107">
      <c r="A107" s="169"/>
      <c r="B107" s="169"/>
      <c r="C107" s="169"/>
      <c r="D107" s="169"/>
    </row>
    <row r="108">
      <c r="A108" s="223" t="s">
        <v>1934</v>
      </c>
      <c r="B108" s="224"/>
      <c r="C108" s="169"/>
      <c r="D108" s="169"/>
    </row>
    <row r="109">
      <c r="A109" s="225" t="s">
        <v>1696</v>
      </c>
      <c r="B109" s="226" t="s">
        <v>1889</v>
      </c>
      <c r="C109" s="227" t="s">
        <v>1890</v>
      </c>
      <c r="D109" s="15"/>
      <c r="E109" s="169"/>
      <c r="F109" s="169"/>
      <c r="G109" s="169"/>
      <c r="H109" s="169"/>
      <c r="I109" s="169"/>
      <c r="J109" s="169"/>
      <c r="K109" s="169"/>
    </row>
    <row r="110">
      <c r="A110" s="175">
        <v>5000.0</v>
      </c>
      <c r="B110" s="228" t="s">
        <v>1935</v>
      </c>
      <c r="C110" s="53"/>
      <c r="D110" s="54"/>
      <c r="E110" s="169"/>
      <c r="F110" s="169"/>
      <c r="G110" s="169"/>
      <c r="H110" s="169"/>
      <c r="I110" s="169"/>
      <c r="J110" s="169"/>
      <c r="K110" s="169"/>
    </row>
    <row r="111">
      <c r="A111" s="175">
        <v>5050.0</v>
      </c>
      <c r="B111" s="176">
        <v>250.0</v>
      </c>
      <c r="C111" s="201" t="s">
        <v>1901</v>
      </c>
      <c r="D111" s="54"/>
      <c r="E111" s="169"/>
      <c r="F111" s="169"/>
      <c r="G111" s="169"/>
      <c r="H111" s="169"/>
      <c r="I111" s="169"/>
      <c r="J111" s="169"/>
      <c r="K111" s="169"/>
    </row>
    <row r="112">
      <c r="A112" s="175">
        <v>5100.0</v>
      </c>
      <c r="B112" s="117">
        <v>1.0</v>
      </c>
      <c r="C112" s="229" t="s">
        <v>1936</v>
      </c>
      <c r="D112" s="54"/>
      <c r="E112" s="169"/>
      <c r="F112" s="169"/>
      <c r="G112" s="169"/>
      <c r="H112" s="169"/>
      <c r="I112" s="169"/>
      <c r="J112" s="169"/>
      <c r="K112" s="169"/>
    </row>
    <row r="113">
      <c r="A113" s="175">
        <v>5150.0</v>
      </c>
      <c r="B113" s="176">
        <v>25.0</v>
      </c>
      <c r="C113" s="217" t="s">
        <v>1905</v>
      </c>
      <c r="D113" s="15"/>
      <c r="E113" s="169"/>
      <c r="F113" s="169"/>
      <c r="G113" s="169"/>
      <c r="H113" s="169"/>
      <c r="I113" s="169"/>
      <c r="J113" s="169"/>
      <c r="K113" s="169"/>
    </row>
    <row r="114">
      <c r="A114" s="175">
        <v>5200.0</v>
      </c>
      <c r="B114" s="117">
        <v>5000.0</v>
      </c>
      <c r="C114" s="196" t="s">
        <v>1893</v>
      </c>
      <c r="D114" s="54"/>
      <c r="E114" s="169"/>
      <c r="F114" s="169"/>
      <c r="G114" s="169"/>
      <c r="H114" s="169"/>
      <c r="I114" s="169"/>
      <c r="J114" s="169"/>
      <c r="K114" s="169"/>
    </row>
    <row r="115">
      <c r="A115" s="175">
        <v>5300.0</v>
      </c>
      <c r="B115" s="228" t="s">
        <v>1937</v>
      </c>
      <c r="C115" s="53"/>
      <c r="D115" s="54"/>
      <c r="E115" s="169"/>
      <c r="F115" s="169"/>
      <c r="G115" s="169"/>
      <c r="H115" s="169"/>
      <c r="I115" s="169"/>
      <c r="J115" s="169"/>
      <c r="K115" s="169"/>
    </row>
    <row r="116">
      <c r="A116" s="175">
        <v>5350.0</v>
      </c>
      <c r="B116" s="176">
        <v>25.0</v>
      </c>
      <c r="C116" s="217" t="s">
        <v>1905</v>
      </c>
      <c r="D116" s="15"/>
      <c r="E116" s="169"/>
      <c r="F116" s="169"/>
      <c r="G116" s="169"/>
      <c r="H116" s="169"/>
      <c r="I116" s="169"/>
      <c r="J116" s="169"/>
      <c r="K116" s="169"/>
    </row>
    <row r="117">
      <c r="A117" s="175">
        <v>5400.0</v>
      </c>
      <c r="B117" s="176">
        <v>1.0</v>
      </c>
      <c r="C117" s="230" t="s">
        <v>1938</v>
      </c>
      <c r="D117" s="15"/>
      <c r="E117" s="169"/>
      <c r="F117" s="169"/>
      <c r="G117" s="169"/>
      <c r="H117" s="169"/>
      <c r="I117" s="169"/>
      <c r="J117" s="169"/>
      <c r="K117" s="169"/>
    </row>
    <row r="118">
      <c r="A118" s="175">
        <v>5450.0</v>
      </c>
      <c r="B118" s="176">
        <v>5.0</v>
      </c>
      <c r="C118" s="208" t="s">
        <v>1912</v>
      </c>
      <c r="D118" s="54"/>
      <c r="E118" s="169"/>
      <c r="F118" s="169"/>
      <c r="G118" s="169"/>
      <c r="H118" s="169"/>
      <c r="I118" s="169"/>
      <c r="J118" s="169"/>
      <c r="K118" s="169"/>
    </row>
    <row r="119">
      <c r="A119" s="175">
        <v>5500.0</v>
      </c>
      <c r="B119" s="176">
        <v>7500.0</v>
      </c>
      <c r="C119" s="196" t="s">
        <v>1893</v>
      </c>
      <c r="D119" s="54"/>
      <c r="E119" s="169"/>
      <c r="F119" s="169"/>
      <c r="G119" s="169"/>
      <c r="H119" s="169"/>
      <c r="I119" s="169"/>
      <c r="J119" s="169"/>
      <c r="K119" s="169"/>
    </row>
    <row r="120">
      <c r="A120" s="175">
        <v>5600.0</v>
      </c>
      <c r="B120" s="228" t="s">
        <v>1939</v>
      </c>
      <c r="C120" s="53"/>
      <c r="D120" s="54"/>
      <c r="E120" s="169"/>
      <c r="F120" s="169"/>
      <c r="G120" s="169"/>
      <c r="H120" s="169"/>
      <c r="I120" s="169"/>
      <c r="J120" s="169"/>
      <c r="K120" s="169"/>
    </row>
    <row r="121">
      <c r="A121" s="175">
        <v>5675.0</v>
      </c>
      <c r="B121" s="176">
        <v>5.0</v>
      </c>
      <c r="C121" s="208" t="s">
        <v>1912</v>
      </c>
      <c r="D121" s="54"/>
      <c r="E121" s="169"/>
      <c r="F121" s="169"/>
      <c r="G121" s="169"/>
      <c r="H121" s="169"/>
      <c r="I121" s="169"/>
      <c r="J121" s="169"/>
      <c r="K121" s="169"/>
    </row>
    <row r="122">
      <c r="A122" s="175">
        <v>5750.0</v>
      </c>
      <c r="B122" s="176">
        <v>50.0</v>
      </c>
      <c r="C122" s="231" t="s">
        <v>1898</v>
      </c>
      <c r="D122" s="54"/>
      <c r="E122" s="169"/>
      <c r="F122" s="169"/>
      <c r="G122" s="169"/>
      <c r="H122" s="169"/>
      <c r="I122" s="169"/>
      <c r="J122" s="169"/>
      <c r="K122" s="169"/>
    </row>
    <row r="123">
      <c r="A123" s="175">
        <v>5825.0</v>
      </c>
      <c r="B123" s="117">
        <v>1.0</v>
      </c>
      <c r="C123" s="221" t="s">
        <v>1930</v>
      </c>
      <c r="D123" s="54"/>
      <c r="E123" s="169"/>
      <c r="F123" s="169"/>
      <c r="G123" s="169"/>
      <c r="H123" s="169"/>
      <c r="I123" s="169"/>
      <c r="J123" s="169"/>
      <c r="K123" s="169"/>
    </row>
    <row r="124">
      <c r="A124" s="175">
        <v>5900.0</v>
      </c>
      <c r="B124" s="176">
        <v>10000.0</v>
      </c>
      <c r="C124" s="196" t="s">
        <v>1893</v>
      </c>
      <c r="D124" s="54"/>
      <c r="E124" s="169"/>
      <c r="F124" s="169"/>
      <c r="G124" s="169"/>
      <c r="H124" s="169"/>
      <c r="I124" s="169"/>
      <c r="J124" s="169"/>
      <c r="K124" s="169"/>
    </row>
    <row r="125">
      <c r="A125" s="175">
        <v>6000.0</v>
      </c>
      <c r="B125" s="228" t="s">
        <v>1940</v>
      </c>
      <c r="C125" s="53"/>
      <c r="D125" s="54"/>
      <c r="E125" s="169"/>
      <c r="F125" s="169"/>
      <c r="G125" s="169"/>
      <c r="H125" s="169"/>
      <c r="I125" s="169"/>
      <c r="J125" s="169"/>
      <c r="K125" s="169"/>
    </row>
    <row r="126">
      <c r="A126" s="175">
        <v>6050.0</v>
      </c>
      <c r="B126" s="176">
        <v>250.0</v>
      </c>
      <c r="C126" s="201" t="s">
        <v>1901</v>
      </c>
      <c r="D126" s="54"/>
      <c r="E126" s="169"/>
      <c r="F126" s="169"/>
      <c r="G126" s="169"/>
      <c r="H126" s="169"/>
      <c r="I126" s="169"/>
      <c r="J126" s="169"/>
      <c r="K126" s="169"/>
    </row>
    <row r="127">
      <c r="A127" s="175">
        <v>6100.0</v>
      </c>
      <c r="B127" s="176">
        <v>1.0</v>
      </c>
      <c r="C127" s="232" t="s">
        <v>1941</v>
      </c>
      <c r="D127" s="15"/>
      <c r="E127" s="169"/>
      <c r="F127" s="169"/>
      <c r="G127" s="169"/>
      <c r="H127" s="169"/>
      <c r="I127" s="169"/>
      <c r="J127" s="169"/>
      <c r="K127" s="169"/>
    </row>
    <row r="128">
      <c r="A128" s="175">
        <v>6150.0</v>
      </c>
      <c r="B128" s="176">
        <v>25.0</v>
      </c>
      <c r="C128" s="217" t="s">
        <v>1905</v>
      </c>
      <c r="D128" s="15"/>
      <c r="E128" s="169"/>
      <c r="F128" s="169"/>
      <c r="G128" s="169"/>
      <c r="H128" s="169"/>
      <c r="I128" s="169"/>
      <c r="J128" s="169"/>
      <c r="K128" s="169"/>
    </row>
    <row r="129">
      <c r="A129" s="175">
        <v>6200.0</v>
      </c>
      <c r="B129" s="176">
        <v>5000.0</v>
      </c>
      <c r="C129" s="196" t="s">
        <v>1893</v>
      </c>
      <c r="D129" s="54"/>
      <c r="E129" s="169"/>
      <c r="F129" s="169"/>
      <c r="G129" s="169"/>
      <c r="H129" s="169"/>
      <c r="I129" s="169"/>
      <c r="J129" s="169"/>
      <c r="K129" s="169"/>
    </row>
    <row r="130">
      <c r="A130" s="175">
        <v>6300.0</v>
      </c>
      <c r="B130" s="228" t="s">
        <v>1942</v>
      </c>
      <c r="C130" s="53"/>
      <c r="D130" s="54"/>
      <c r="E130" s="169"/>
      <c r="F130" s="169"/>
      <c r="G130" s="169"/>
      <c r="H130" s="169"/>
      <c r="I130" s="169"/>
      <c r="J130" s="169"/>
      <c r="K130" s="169"/>
    </row>
    <row r="131">
      <c r="A131" s="175">
        <v>6350.0</v>
      </c>
      <c r="B131" s="176">
        <v>25.0</v>
      </c>
      <c r="C131" s="217" t="s">
        <v>1905</v>
      </c>
      <c r="D131" s="15"/>
      <c r="E131" s="169"/>
      <c r="F131" s="169"/>
      <c r="G131" s="169"/>
      <c r="H131" s="169"/>
      <c r="I131" s="169"/>
      <c r="J131" s="169"/>
      <c r="K131" s="169"/>
    </row>
    <row r="132">
      <c r="A132" s="175">
        <v>6400.0</v>
      </c>
      <c r="B132" s="117">
        <v>1.0</v>
      </c>
      <c r="C132" s="233" t="s">
        <v>1943</v>
      </c>
      <c r="D132" s="54"/>
      <c r="E132" s="169"/>
      <c r="F132" s="169"/>
      <c r="G132" s="169"/>
      <c r="H132" s="169"/>
      <c r="I132" s="169"/>
      <c r="J132" s="169"/>
      <c r="K132" s="169"/>
    </row>
    <row r="133">
      <c r="A133" s="175">
        <v>6450.0</v>
      </c>
      <c r="B133" s="176">
        <v>5.0</v>
      </c>
      <c r="C133" s="208" t="s">
        <v>1912</v>
      </c>
      <c r="D133" s="54"/>
      <c r="E133" s="169"/>
      <c r="F133" s="169"/>
      <c r="G133" s="169"/>
      <c r="H133" s="169"/>
      <c r="I133" s="169"/>
      <c r="J133" s="169"/>
      <c r="K133" s="169"/>
    </row>
    <row r="134">
      <c r="A134" s="175">
        <v>6500.0</v>
      </c>
      <c r="B134" s="176">
        <v>7500.0</v>
      </c>
      <c r="C134" s="196" t="s">
        <v>1893</v>
      </c>
      <c r="D134" s="54"/>
      <c r="E134" s="169"/>
      <c r="F134" s="169"/>
      <c r="G134" s="169"/>
      <c r="H134" s="169"/>
      <c r="I134" s="169"/>
      <c r="J134" s="169"/>
      <c r="K134" s="169"/>
    </row>
    <row r="135">
      <c r="A135" s="175">
        <v>6600.0</v>
      </c>
      <c r="B135" s="228" t="s">
        <v>1944</v>
      </c>
      <c r="C135" s="53"/>
      <c r="D135" s="54"/>
      <c r="E135" s="169"/>
      <c r="F135" s="169"/>
      <c r="G135" s="169"/>
      <c r="H135" s="169"/>
      <c r="I135" s="169"/>
      <c r="J135" s="169"/>
      <c r="K135" s="169"/>
    </row>
    <row r="136">
      <c r="A136" s="175">
        <v>6675.0</v>
      </c>
      <c r="B136" s="176">
        <v>5.0</v>
      </c>
      <c r="C136" s="208" t="s">
        <v>1912</v>
      </c>
      <c r="D136" s="54"/>
      <c r="E136" s="169"/>
      <c r="F136" s="169"/>
      <c r="G136" s="169"/>
      <c r="H136" s="169"/>
      <c r="I136" s="169"/>
      <c r="J136" s="169"/>
      <c r="K136" s="169"/>
    </row>
    <row r="137">
      <c r="A137" s="175">
        <v>6750.0</v>
      </c>
      <c r="B137" s="176">
        <v>50.0</v>
      </c>
      <c r="C137" s="231" t="s">
        <v>1898</v>
      </c>
      <c r="D137" s="54"/>
      <c r="E137" s="169"/>
      <c r="F137" s="169"/>
      <c r="G137" s="169"/>
      <c r="H137" s="169"/>
      <c r="I137" s="169"/>
      <c r="J137" s="169"/>
      <c r="K137" s="169"/>
    </row>
    <row r="138">
      <c r="A138" s="175">
        <v>6825.0</v>
      </c>
      <c r="B138" s="117">
        <v>1.0</v>
      </c>
      <c r="C138" s="221" t="s">
        <v>1930</v>
      </c>
      <c r="D138" s="54"/>
      <c r="E138" s="169"/>
      <c r="F138" s="169"/>
      <c r="G138" s="169"/>
      <c r="H138" s="169"/>
      <c r="I138" s="169"/>
      <c r="J138" s="169"/>
      <c r="K138" s="169"/>
    </row>
    <row r="139">
      <c r="A139" s="175">
        <v>6900.0</v>
      </c>
      <c r="B139" s="176">
        <v>10000.0</v>
      </c>
      <c r="C139" s="196" t="s">
        <v>1893</v>
      </c>
      <c r="D139" s="54"/>
      <c r="E139" s="169"/>
      <c r="F139" s="169"/>
      <c r="G139" s="169"/>
      <c r="H139" s="169"/>
      <c r="I139" s="169"/>
      <c r="J139" s="169"/>
      <c r="K139" s="169"/>
    </row>
    <row r="140">
      <c r="A140" s="175">
        <v>7000.0</v>
      </c>
      <c r="B140" s="228" t="s">
        <v>1945</v>
      </c>
      <c r="C140" s="53"/>
      <c r="D140" s="54"/>
      <c r="E140" s="169"/>
      <c r="F140" s="169"/>
      <c r="G140" s="169"/>
      <c r="H140" s="169"/>
      <c r="I140" s="169"/>
      <c r="J140" s="169"/>
      <c r="K140" s="169"/>
    </row>
    <row r="141">
      <c r="A141" s="175">
        <v>7050.0</v>
      </c>
      <c r="B141" s="176">
        <v>250.0</v>
      </c>
      <c r="C141" s="201" t="s">
        <v>1901</v>
      </c>
      <c r="D141" s="54"/>
      <c r="E141" s="169"/>
      <c r="F141" s="169"/>
      <c r="G141" s="169"/>
      <c r="H141" s="169"/>
      <c r="I141" s="169"/>
      <c r="J141" s="169"/>
      <c r="K141" s="169"/>
    </row>
    <row r="142">
      <c r="A142" s="175">
        <v>7100.0</v>
      </c>
      <c r="B142" s="117">
        <v>1.0</v>
      </c>
      <c r="C142" s="229" t="s">
        <v>1936</v>
      </c>
      <c r="D142" s="54"/>
      <c r="E142" s="169"/>
      <c r="F142" s="169"/>
      <c r="G142" s="169"/>
      <c r="H142" s="169"/>
      <c r="I142" s="169"/>
      <c r="J142" s="169"/>
      <c r="K142" s="169"/>
    </row>
    <row r="143">
      <c r="A143" s="175">
        <v>7150.0</v>
      </c>
      <c r="B143" s="176">
        <v>25.0</v>
      </c>
      <c r="C143" s="217" t="s">
        <v>1905</v>
      </c>
      <c r="D143" s="15"/>
      <c r="E143" s="169"/>
      <c r="F143" s="169"/>
      <c r="G143" s="169"/>
      <c r="H143" s="169"/>
      <c r="I143" s="169"/>
      <c r="J143" s="169"/>
      <c r="K143" s="169"/>
    </row>
    <row r="144">
      <c r="A144" s="175">
        <v>7200.0</v>
      </c>
      <c r="B144" s="176">
        <v>5000.0</v>
      </c>
      <c r="C144" s="196" t="s">
        <v>1893</v>
      </c>
      <c r="D144" s="54"/>
      <c r="E144" s="169"/>
      <c r="F144" s="169"/>
      <c r="G144" s="169"/>
      <c r="H144" s="169"/>
      <c r="I144" s="169"/>
      <c r="J144" s="169"/>
      <c r="K144" s="169"/>
    </row>
    <row r="145">
      <c r="A145" s="175">
        <v>7300.0</v>
      </c>
      <c r="B145" s="228" t="s">
        <v>1946</v>
      </c>
      <c r="C145" s="53"/>
      <c r="D145" s="54"/>
      <c r="E145" s="169"/>
      <c r="F145" s="169"/>
      <c r="G145" s="169"/>
      <c r="H145" s="169"/>
      <c r="I145" s="169"/>
      <c r="J145" s="169"/>
      <c r="K145" s="169"/>
    </row>
    <row r="146">
      <c r="A146" s="175">
        <v>7350.0</v>
      </c>
      <c r="B146" s="176">
        <v>25.0</v>
      </c>
      <c r="C146" s="217" t="s">
        <v>1905</v>
      </c>
      <c r="D146" s="15"/>
      <c r="E146" s="169"/>
      <c r="F146" s="169"/>
      <c r="G146" s="169"/>
      <c r="H146" s="169"/>
      <c r="I146" s="169"/>
      <c r="J146" s="169"/>
      <c r="K146" s="169"/>
    </row>
    <row r="147">
      <c r="A147" s="175">
        <v>7400.0</v>
      </c>
      <c r="B147" s="117">
        <v>1.0</v>
      </c>
      <c r="C147" s="233" t="s">
        <v>1943</v>
      </c>
      <c r="D147" s="54"/>
      <c r="E147" s="169"/>
      <c r="F147" s="169"/>
      <c r="G147" s="169"/>
      <c r="H147" s="169"/>
      <c r="I147" s="169"/>
      <c r="J147" s="169"/>
      <c r="K147" s="169"/>
    </row>
    <row r="148">
      <c r="A148" s="175">
        <v>7450.0</v>
      </c>
      <c r="B148" s="176">
        <v>5.0</v>
      </c>
      <c r="C148" s="208" t="s">
        <v>1912</v>
      </c>
      <c r="D148" s="54"/>
      <c r="E148" s="169"/>
      <c r="F148" s="169"/>
      <c r="G148" s="169"/>
      <c r="H148" s="169"/>
      <c r="I148" s="169"/>
      <c r="J148" s="169"/>
      <c r="K148" s="169"/>
    </row>
    <row r="149">
      <c r="A149" s="175">
        <v>7500.0</v>
      </c>
      <c r="B149" s="176">
        <v>7500.0</v>
      </c>
      <c r="C149" s="196" t="s">
        <v>1893</v>
      </c>
      <c r="D149" s="54"/>
      <c r="E149" s="169"/>
      <c r="F149" s="169"/>
      <c r="G149" s="169"/>
      <c r="H149" s="169"/>
      <c r="I149" s="169"/>
      <c r="J149" s="169"/>
      <c r="K149" s="169"/>
    </row>
    <row r="150">
      <c r="A150" s="175">
        <v>7600.0</v>
      </c>
      <c r="B150" s="228" t="s">
        <v>1947</v>
      </c>
      <c r="C150" s="53"/>
      <c r="D150" s="54"/>
      <c r="E150" s="169"/>
      <c r="F150" s="169"/>
      <c r="G150" s="169"/>
      <c r="H150" s="169"/>
      <c r="I150" s="169"/>
      <c r="J150" s="169"/>
      <c r="K150" s="169"/>
    </row>
    <row r="151">
      <c r="A151" s="175">
        <v>7675.0</v>
      </c>
      <c r="B151" s="176">
        <v>5.0</v>
      </c>
      <c r="C151" s="208" t="s">
        <v>1912</v>
      </c>
      <c r="D151" s="54"/>
      <c r="E151" s="169"/>
      <c r="F151" s="169"/>
      <c r="G151" s="169"/>
      <c r="H151" s="169"/>
      <c r="I151" s="169"/>
      <c r="J151" s="169"/>
      <c r="K151" s="169"/>
    </row>
    <row r="152">
      <c r="A152" s="175">
        <v>7750.0</v>
      </c>
      <c r="B152" s="176">
        <v>50.0</v>
      </c>
      <c r="C152" s="231" t="s">
        <v>1898</v>
      </c>
      <c r="D152" s="54"/>
      <c r="E152" s="169"/>
      <c r="F152" s="169"/>
      <c r="G152" s="169"/>
      <c r="H152" s="169"/>
      <c r="I152" s="169"/>
      <c r="J152" s="169"/>
      <c r="K152" s="169"/>
    </row>
    <row r="153">
      <c r="A153" s="175">
        <v>7825.0</v>
      </c>
      <c r="B153" s="117">
        <v>1.0</v>
      </c>
      <c r="C153" s="221" t="s">
        <v>1930</v>
      </c>
      <c r="D153" s="54"/>
      <c r="E153" s="169"/>
      <c r="F153" s="169"/>
      <c r="G153" s="169"/>
      <c r="H153" s="169"/>
      <c r="I153" s="169"/>
      <c r="J153" s="169"/>
      <c r="K153" s="169"/>
    </row>
    <row r="154">
      <c r="A154" s="175">
        <v>7900.0</v>
      </c>
      <c r="B154" s="176">
        <v>1.0</v>
      </c>
      <c r="C154" s="234" t="s">
        <v>1948</v>
      </c>
      <c r="D154" s="54"/>
      <c r="E154" s="169"/>
      <c r="F154" s="169"/>
      <c r="G154" s="169"/>
      <c r="H154" s="169"/>
      <c r="I154" s="169"/>
      <c r="J154" s="169"/>
      <c r="K154" s="169"/>
    </row>
    <row r="155">
      <c r="A155" s="175">
        <v>8000.0</v>
      </c>
      <c r="B155" s="228" t="s">
        <v>1949</v>
      </c>
      <c r="C155" s="53"/>
      <c r="D155" s="54"/>
      <c r="E155" s="169"/>
      <c r="F155" s="169"/>
      <c r="G155" s="169"/>
      <c r="H155" s="169"/>
      <c r="I155" s="169"/>
      <c r="J155" s="169"/>
      <c r="K155" s="169"/>
    </row>
    <row r="156">
      <c r="A156" s="235" t="s">
        <v>1950</v>
      </c>
      <c r="B156" s="224"/>
      <c r="C156" s="224"/>
      <c r="D156" s="224"/>
      <c r="E156" s="224"/>
      <c r="F156" s="224"/>
      <c r="G156" s="224"/>
      <c r="H156" s="169"/>
      <c r="I156" s="169"/>
      <c r="J156" s="169"/>
      <c r="K156" s="169"/>
    </row>
    <row r="157">
      <c r="A157" s="236" t="s">
        <v>1933</v>
      </c>
      <c r="B157" s="224"/>
      <c r="C157" s="224"/>
      <c r="D157" s="224"/>
      <c r="E157" s="224"/>
      <c r="F157" s="169"/>
      <c r="G157" s="169"/>
      <c r="H157" s="169"/>
      <c r="I157" s="169"/>
      <c r="J157" s="169"/>
      <c r="K157" s="169"/>
    </row>
    <row r="158">
      <c r="A158" s="183" t="s">
        <v>1951</v>
      </c>
      <c r="B158" s="169"/>
      <c r="C158" s="169"/>
      <c r="D158" s="169"/>
      <c r="E158" s="169"/>
      <c r="F158" s="169"/>
      <c r="G158" s="169"/>
      <c r="H158" s="169"/>
      <c r="I158" s="169"/>
      <c r="J158" s="169"/>
      <c r="K158" s="169"/>
    </row>
    <row r="159">
      <c r="A159" s="178"/>
      <c r="B159" s="169"/>
      <c r="C159" s="169"/>
      <c r="D159" s="169"/>
    </row>
  </sheetData>
  <mergeCells count="119">
    <mergeCell ref="C66:D66"/>
    <mergeCell ref="C67:D67"/>
    <mergeCell ref="C68:D68"/>
    <mergeCell ref="C70:D70"/>
    <mergeCell ref="C71:D71"/>
    <mergeCell ref="B72:D72"/>
    <mergeCell ref="C74:D74"/>
    <mergeCell ref="C75:D75"/>
    <mergeCell ref="C76:D76"/>
    <mergeCell ref="C78:D78"/>
    <mergeCell ref="C79:D79"/>
    <mergeCell ref="B80:D80"/>
    <mergeCell ref="C81:D81"/>
    <mergeCell ref="C82:D82"/>
    <mergeCell ref="C84:D84"/>
    <mergeCell ref="C86:D86"/>
    <mergeCell ref="C87:D87"/>
    <mergeCell ref="B88:D88"/>
    <mergeCell ref="C90:D90"/>
    <mergeCell ref="C91:D91"/>
    <mergeCell ref="C93:D93"/>
    <mergeCell ref="C94:D94"/>
    <mergeCell ref="C95:D95"/>
    <mergeCell ref="B96:D96"/>
    <mergeCell ref="C97:D97"/>
    <mergeCell ref="C98:D98"/>
    <mergeCell ref="C99:D99"/>
    <mergeCell ref="C101:D101"/>
    <mergeCell ref="C103:D103"/>
    <mergeCell ref="B104:D104"/>
    <mergeCell ref="C109:D109"/>
    <mergeCell ref="B110:D110"/>
    <mergeCell ref="C111:D111"/>
    <mergeCell ref="C112:D112"/>
    <mergeCell ref="C113:D113"/>
    <mergeCell ref="C114:D114"/>
    <mergeCell ref="B115:D115"/>
    <mergeCell ref="C116:D116"/>
    <mergeCell ref="C117:D117"/>
    <mergeCell ref="C118:D118"/>
    <mergeCell ref="C119:D119"/>
    <mergeCell ref="B120:D120"/>
    <mergeCell ref="C128:D128"/>
    <mergeCell ref="C129:D129"/>
    <mergeCell ref="B130:D130"/>
    <mergeCell ref="C131:D131"/>
    <mergeCell ref="C132:D132"/>
    <mergeCell ref="C133:D133"/>
    <mergeCell ref="C134:D134"/>
    <mergeCell ref="B135:D135"/>
    <mergeCell ref="C136:D136"/>
    <mergeCell ref="C137:D137"/>
    <mergeCell ref="C138:D138"/>
    <mergeCell ref="C139:D139"/>
    <mergeCell ref="B140:D140"/>
    <mergeCell ref="C141:D141"/>
    <mergeCell ref="C149:D149"/>
    <mergeCell ref="B150:D150"/>
    <mergeCell ref="C151:D151"/>
    <mergeCell ref="C152:D152"/>
    <mergeCell ref="C153:D153"/>
    <mergeCell ref="C154:D154"/>
    <mergeCell ref="B155:D155"/>
    <mergeCell ref="C142:D142"/>
    <mergeCell ref="C143:D143"/>
    <mergeCell ref="C144:D144"/>
    <mergeCell ref="B145:D145"/>
    <mergeCell ref="C146:D146"/>
    <mergeCell ref="C147:D147"/>
    <mergeCell ref="C148:D148"/>
    <mergeCell ref="C3:D3"/>
    <mergeCell ref="B4:D4"/>
    <mergeCell ref="C6:D6"/>
    <mergeCell ref="C8:D8"/>
    <mergeCell ref="C9:D9"/>
    <mergeCell ref="B10:D10"/>
    <mergeCell ref="C12:D12"/>
    <mergeCell ref="C14:D14"/>
    <mergeCell ref="B16:D16"/>
    <mergeCell ref="C18:D18"/>
    <mergeCell ref="C20:D20"/>
    <mergeCell ref="C22:D22"/>
    <mergeCell ref="C23:D23"/>
    <mergeCell ref="B24:D24"/>
    <mergeCell ref="C25:D25"/>
    <mergeCell ref="C26:D26"/>
    <mergeCell ref="C28:D28"/>
    <mergeCell ref="B30:D30"/>
    <mergeCell ref="C32:D32"/>
    <mergeCell ref="C33:D33"/>
    <mergeCell ref="C34:D34"/>
    <mergeCell ref="B36:D36"/>
    <mergeCell ref="C37:D37"/>
    <mergeCell ref="C38:D38"/>
    <mergeCell ref="C40:D40"/>
    <mergeCell ref="C42:D42"/>
    <mergeCell ref="C43:D43"/>
    <mergeCell ref="B44:D44"/>
    <mergeCell ref="C46:D46"/>
    <mergeCell ref="C48:D48"/>
    <mergeCell ref="C49:D49"/>
    <mergeCell ref="B50:D50"/>
    <mergeCell ref="C52:D52"/>
    <mergeCell ref="C53:D53"/>
    <mergeCell ref="C54:D54"/>
    <mergeCell ref="B56:D56"/>
    <mergeCell ref="C57:D57"/>
    <mergeCell ref="C58:D58"/>
    <mergeCell ref="C60:D60"/>
    <mergeCell ref="C62:D62"/>
    <mergeCell ref="C63:D63"/>
    <mergeCell ref="B64:D64"/>
    <mergeCell ref="C121:D121"/>
    <mergeCell ref="C122:D122"/>
    <mergeCell ref="C123:D123"/>
    <mergeCell ref="C124:D124"/>
    <mergeCell ref="B125:D125"/>
    <mergeCell ref="C126:D126"/>
    <mergeCell ref="C127:D127"/>
  </mergeCells>
  <drawing r:id="rId1"/>
</worksheet>
</file>