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例题\"/>
    </mc:Choice>
  </mc:AlternateContent>
  <bookViews>
    <workbookView xWindow="0" yWindow="0" windowWidth="11496" windowHeight="2556" tabRatio="618" firstSheet="2" activeTab="4" xr2:uid="{00000000-000D-0000-FFFF-FFFF00000000}"/>
  </bookViews>
  <sheets>
    <sheet name="基本工资记录表" sheetId="1" r:id="rId1"/>
    <sheet name="奖、罚款记录" sheetId="2" r:id="rId2"/>
    <sheet name="考勤表" sheetId="3" r:id="rId3"/>
    <sheet name="考勤扣款统计" sheetId="4" r:id="rId4"/>
    <sheet name="福利待遇表" sheetId="5" r:id="rId5"/>
    <sheet name="所得税" sheetId="6" r:id="rId6"/>
    <sheet name="工资统计表" sheetId="7" r:id="rId7"/>
    <sheet name="工资单" sheetId="8" r:id="rId8"/>
  </sheets>
  <definedNames>
    <definedName name="_xlnm._FilterDatabase" localSheetId="0" hidden="1">基本工资记录表!$A$2:$I$25</definedName>
    <definedName name="_xlnm._FilterDatabase" localSheetId="1" hidden="1">'奖、罚款记录'!$A$1:$H$14</definedName>
    <definedName name="工资表">工资统计表!$A$4:$O$26</definedName>
  </definedNames>
  <calcPr calcId="162913"/>
</workbook>
</file>

<file path=xl/calcChain.xml><?xml version="1.0" encoding="utf-8"?>
<calcChain xmlns="http://schemas.openxmlformats.org/spreadsheetml/2006/main">
  <c r="A4" i="7" l="1"/>
  <c r="G4" i="7" s="1"/>
  <c r="B4" i="7"/>
  <c r="C4" i="7"/>
  <c r="H4" i="7" s="1"/>
  <c r="D4" i="7"/>
  <c r="E4" i="7"/>
  <c r="A5" i="7"/>
  <c r="B5" i="7"/>
  <c r="C5" i="7"/>
  <c r="D5" i="7"/>
  <c r="E5" i="7"/>
  <c r="A6" i="7"/>
  <c r="B6" i="7"/>
  <c r="C6" i="7"/>
  <c r="D6" i="7"/>
  <c r="E6" i="7"/>
  <c r="G6" i="7"/>
  <c r="H6" i="7"/>
  <c r="A7" i="7"/>
  <c r="G7" i="7" s="1"/>
  <c r="B7" i="7"/>
  <c r="C7" i="7"/>
  <c r="H7" i="7" s="1"/>
  <c r="D7" i="7"/>
  <c r="E7" i="7"/>
  <c r="A8" i="7"/>
  <c r="G8" i="7" s="1"/>
  <c r="B8" i="7"/>
  <c r="C8" i="7"/>
  <c r="D8" i="7"/>
  <c r="E8" i="7"/>
  <c r="H8" i="7"/>
  <c r="A9" i="7"/>
  <c r="B9" i="7"/>
  <c r="C9" i="7"/>
  <c r="D9" i="7"/>
  <c r="E9" i="7"/>
  <c r="A10" i="7"/>
  <c r="G10" i="7" s="1"/>
  <c r="B10" i="7"/>
  <c r="C10" i="7"/>
  <c r="H10" i="7" s="1"/>
  <c r="D10" i="7"/>
  <c r="E10" i="7"/>
  <c r="A11" i="7"/>
  <c r="G11" i="7" s="1"/>
  <c r="B11" i="7"/>
  <c r="C11" i="7"/>
  <c r="H11" i="7" s="1"/>
  <c r="D11" i="7"/>
  <c r="E11" i="7"/>
  <c r="A12" i="7"/>
  <c r="B12" i="7"/>
  <c r="C12" i="7"/>
  <c r="D12" i="7"/>
  <c r="E12" i="7"/>
  <c r="A13" i="7"/>
  <c r="G13" i="7" s="1"/>
  <c r="B13" i="7"/>
  <c r="C13" i="7"/>
  <c r="H13" i="7" s="1"/>
  <c r="D13" i="7"/>
  <c r="E13" i="7"/>
  <c r="A14" i="7"/>
  <c r="B14" i="7"/>
  <c r="C14" i="7"/>
  <c r="D14" i="7"/>
  <c r="E14" i="7"/>
  <c r="A15" i="7"/>
  <c r="B15" i="7"/>
  <c r="C15" i="7"/>
  <c r="H15" i="7" s="1"/>
  <c r="D15" i="7"/>
  <c r="E15" i="7"/>
  <c r="G15" i="7"/>
  <c r="A16" i="7"/>
  <c r="G16" i="7" s="1"/>
  <c r="B16" i="7"/>
  <c r="C16" i="7"/>
  <c r="D16" i="7"/>
  <c r="E16" i="7"/>
  <c r="H16" i="7"/>
  <c r="A17" i="7"/>
  <c r="G17" i="7" s="1"/>
  <c r="B17" i="7"/>
  <c r="C17" i="7"/>
  <c r="H17" i="7" s="1"/>
  <c r="D17" i="7"/>
  <c r="E17" i="7"/>
  <c r="A18" i="7"/>
  <c r="G18" i="7" s="1"/>
  <c r="B18" i="7"/>
  <c r="C18" i="7"/>
  <c r="D18" i="7"/>
  <c r="E18" i="7"/>
  <c r="H18" i="7"/>
  <c r="A19" i="7"/>
  <c r="B19" i="7"/>
  <c r="C19" i="7"/>
  <c r="D19" i="7"/>
  <c r="E19" i="7"/>
  <c r="A20" i="7"/>
  <c r="G20" i="7" s="1"/>
  <c r="B20" i="7"/>
  <c r="C20" i="7"/>
  <c r="D20" i="7"/>
  <c r="E20" i="7"/>
  <c r="H20" i="7"/>
  <c r="A21" i="7"/>
  <c r="G21" i="7" s="1"/>
  <c r="B21" i="7"/>
  <c r="C21" i="7"/>
  <c r="H21" i="7" s="1"/>
  <c r="D21" i="7"/>
  <c r="E21" i="7"/>
  <c r="A22" i="7"/>
  <c r="G22" i="7" s="1"/>
  <c r="B22" i="7"/>
  <c r="C22" i="7"/>
  <c r="D22" i="7"/>
  <c r="E22" i="7"/>
  <c r="H22" i="7"/>
  <c r="A23" i="7"/>
  <c r="G23" i="7" s="1"/>
  <c r="B23" i="7"/>
  <c r="C23" i="7"/>
  <c r="H23" i="7" s="1"/>
  <c r="D23" i="7"/>
  <c r="E23" i="7"/>
  <c r="A24" i="7"/>
  <c r="G24" i="7" s="1"/>
  <c r="B24" i="7"/>
  <c r="C24" i="7"/>
  <c r="D24" i="7"/>
  <c r="E24" i="7"/>
  <c r="H24" i="7"/>
  <c r="A25" i="7"/>
  <c r="B25" i="7"/>
  <c r="C25" i="7"/>
  <c r="D25" i="7"/>
  <c r="E25" i="7"/>
  <c r="A26" i="7"/>
  <c r="G26" i="7" s="1"/>
  <c r="B26" i="7"/>
  <c r="C26" i="7"/>
  <c r="D26" i="7"/>
  <c r="E26" i="7"/>
  <c r="H26" i="7"/>
  <c r="A3" i="5"/>
  <c r="B3" i="5"/>
  <c r="C3" i="5"/>
  <c r="D3" i="5"/>
  <c r="E3" i="5" s="1"/>
  <c r="A4" i="5"/>
  <c r="B4" i="5"/>
  <c r="C4" i="5"/>
  <c r="D4" i="5"/>
  <c r="E4" i="5" s="1"/>
  <c r="H4" i="5"/>
  <c r="A5" i="5"/>
  <c r="B5" i="5"/>
  <c r="C5" i="5"/>
  <c r="D5" i="5"/>
  <c r="F5" i="5" s="1"/>
  <c r="A6" i="5"/>
  <c r="B6" i="5"/>
  <c r="C6" i="5"/>
  <c r="D6" i="5"/>
  <c r="E6" i="5" s="1"/>
  <c r="A7" i="5"/>
  <c r="B7" i="5"/>
  <c r="C7" i="5"/>
  <c r="D7" i="5"/>
  <c r="E7" i="5" s="1"/>
  <c r="H7" i="5"/>
  <c r="A8" i="5"/>
  <c r="B8" i="5"/>
  <c r="C8" i="5"/>
  <c r="D8" i="5"/>
  <c r="E8" i="5" s="1"/>
  <c r="A9" i="5"/>
  <c r="B9" i="5"/>
  <c r="C9" i="5"/>
  <c r="D9" i="5"/>
  <c r="E9" i="5" s="1"/>
  <c r="I9" i="5" s="1"/>
  <c r="F9" i="5"/>
  <c r="G9" i="5"/>
  <c r="H9" i="5"/>
  <c r="A10" i="5"/>
  <c r="B10" i="5"/>
  <c r="C10" i="5"/>
  <c r="D10" i="5"/>
  <c r="E10" i="5" s="1"/>
  <c r="H10" i="5"/>
  <c r="A11" i="5"/>
  <c r="B11" i="5"/>
  <c r="C11" i="5"/>
  <c r="D11" i="5"/>
  <c r="E11" i="5" s="1"/>
  <c r="A12" i="5"/>
  <c r="B12" i="5"/>
  <c r="C12" i="5"/>
  <c r="D12" i="5"/>
  <c r="E12" i="5" s="1"/>
  <c r="H12" i="5"/>
  <c r="A13" i="5"/>
  <c r="B13" i="5"/>
  <c r="C13" i="5"/>
  <c r="D13" i="5"/>
  <c r="F13" i="5" s="1"/>
  <c r="H13" i="5"/>
  <c r="A14" i="5"/>
  <c r="B14" i="5"/>
  <c r="C14" i="5"/>
  <c r="D14" i="5"/>
  <c r="E14" i="5" s="1"/>
  <c r="A15" i="5"/>
  <c r="B15" i="5"/>
  <c r="C15" i="5"/>
  <c r="D15" i="5"/>
  <c r="E15" i="5" s="1"/>
  <c r="H15" i="5"/>
  <c r="A16" i="5"/>
  <c r="B16" i="5"/>
  <c r="C16" i="5"/>
  <c r="D16" i="5"/>
  <c r="E16" i="5" s="1"/>
  <c r="A17" i="5"/>
  <c r="B17" i="5"/>
  <c r="C17" i="5"/>
  <c r="D17" i="5"/>
  <c r="E17" i="5" s="1"/>
  <c r="I17" i="5" s="1"/>
  <c r="F17" i="5"/>
  <c r="G17" i="5"/>
  <c r="H17" i="5"/>
  <c r="A18" i="5"/>
  <c r="B18" i="5"/>
  <c r="C18" i="5"/>
  <c r="D18" i="5"/>
  <c r="E18" i="5" s="1"/>
  <c r="H18" i="5"/>
  <c r="A19" i="5"/>
  <c r="B19" i="5"/>
  <c r="C19" i="5"/>
  <c r="D19" i="5"/>
  <c r="E19" i="5" s="1"/>
  <c r="A20" i="5"/>
  <c r="B20" i="5"/>
  <c r="C20" i="5"/>
  <c r="D20" i="5"/>
  <c r="E20" i="5" s="1"/>
  <c r="H20" i="5"/>
  <c r="A21" i="5"/>
  <c r="B21" i="5"/>
  <c r="C21" i="5"/>
  <c r="D21" i="5"/>
  <c r="F21" i="5" s="1"/>
  <c r="H21" i="5"/>
  <c r="A22" i="5"/>
  <c r="B22" i="5"/>
  <c r="C22" i="5"/>
  <c r="D22" i="5"/>
  <c r="E22" i="5" s="1"/>
  <c r="A23" i="5"/>
  <c r="B23" i="5"/>
  <c r="C23" i="5"/>
  <c r="D23" i="5"/>
  <c r="E23" i="5" s="1"/>
  <c r="H23" i="5"/>
  <c r="A24" i="5"/>
  <c r="B24" i="5"/>
  <c r="C24" i="5"/>
  <c r="D24" i="5"/>
  <c r="E24" i="5" s="1"/>
  <c r="A25" i="5"/>
  <c r="B25" i="5"/>
  <c r="C25" i="5"/>
  <c r="D25" i="5"/>
  <c r="E25" i="5" s="1"/>
  <c r="I25" i="5" s="1"/>
  <c r="F25" i="5"/>
  <c r="G25" i="5"/>
  <c r="H25" i="5"/>
  <c r="B2" i="4"/>
  <c r="A7" i="4"/>
  <c r="B7" i="4"/>
  <c r="C7" i="4"/>
  <c r="D7" i="4"/>
  <c r="P7" i="4" s="1" a="1"/>
  <c r="P7" i="4" s="1"/>
  <c r="E7" i="4"/>
  <c r="F7" i="4"/>
  <c r="G7" i="4"/>
  <c r="H7" i="4"/>
  <c r="I7" i="4"/>
  <c r="J7" i="4"/>
  <c r="K7" i="4"/>
  <c r="L7" i="4"/>
  <c r="N7" i="4" s="1"/>
  <c r="A8" i="4"/>
  <c r="B8" i="4"/>
  <c r="C8" i="4"/>
  <c r="D8" i="4"/>
  <c r="M8" i="4" s="1"/>
  <c r="E8" i="4"/>
  <c r="F8" i="4"/>
  <c r="G8" i="4"/>
  <c r="H8" i="4"/>
  <c r="I8" i="4"/>
  <c r="J8" i="4"/>
  <c r="K8" i="4"/>
  <c r="L8" i="4"/>
  <c r="A9" i="4"/>
  <c r="B9" i="4"/>
  <c r="C9" i="4"/>
  <c r="D9" i="4"/>
  <c r="E9" i="4"/>
  <c r="F9" i="4"/>
  <c r="G9" i="4"/>
  <c r="H9" i="4"/>
  <c r="I9" i="4"/>
  <c r="J9" i="4"/>
  <c r="N9" i="4" s="1"/>
  <c r="K9" i="4"/>
  <c r="P9" i="4" s="1" a="1"/>
  <c r="P9" i="4" s="1"/>
  <c r="L9" i="4"/>
  <c r="A10" i="4"/>
  <c r="B10" i="4"/>
  <c r="C10" i="4"/>
  <c r="D10" i="4"/>
  <c r="E10" i="4"/>
  <c r="F10" i="4"/>
  <c r="M10" i="4" s="1"/>
  <c r="G10" i="4"/>
  <c r="H10" i="4"/>
  <c r="I10" i="4"/>
  <c r="J10" i="4"/>
  <c r="K10" i="4"/>
  <c r="L10" i="4"/>
  <c r="A11" i="4"/>
  <c r="B11" i="4"/>
  <c r="C11" i="4"/>
  <c r="D11" i="4"/>
  <c r="E11" i="4"/>
  <c r="F11" i="4"/>
  <c r="G11" i="4"/>
  <c r="H11" i="4"/>
  <c r="I11" i="4"/>
  <c r="J11" i="4"/>
  <c r="K11" i="4"/>
  <c r="L11" i="4"/>
  <c r="P11" i="4" a="1"/>
  <c r="P11" i="4" s="1"/>
  <c r="A12" i="4"/>
  <c r="B12" i="4"/>
  <c r="C12" i="4"/>
  <c r="D12" i="4"/>
  <c r="M12" i="4" s="1"/>
  <c r="E12" i="4"/>
  <c r="F12" i="4"/>
  <c r="G12" i="4"/>
  <c r="H12" i="4"/>
  <c r="I12" i="4"/>
  <c r="J12" i="4"/>
  <c r="K12" i="4"/>
  <c r="L12" i="4"/>
  <c r="A13" i="4"/>
  <c r="B13" i="4"/>
  <c r="C13" i="4"/>
  <c r="D13" i="4"/>
  <c r="E13" i="4"/>
  <c r="F13" i="4"/>
  <c r="G13" i="4"/>
  <c r="H13" i="4"/>
  <c r="I13" i="4"/>
  <c r="J13" i="4"/>
  <c r="N13" i="4" s="1"/>
  <c r="K13" i="4"/>
  <c r="P13" i="4" s="1" a="1"/>
  <c r="P13" i="4" s="1"/>
  <c r="L13" i="4"/>
  <c r="A14" i="4"/>
  <c r="B14" i="4"/>
  <c r="C14" i="4"/>
  <c r="D14" i="4"/>
  <c r="E14" i="4"/>
  <c r="F14" i="4"/>
  <c r="M14" i="4" s="1"/>
  <c r="G14" i="4"/>
  <c r="H14" i="4"/>
  <c r="I14" i="4"/>
  <c r="J14" i="4"/>
  <c r="K14" i="4"/>
  <c r="L14" i="4"/>
  <c r="A15" i="4"/>
  <c r="B15" i="4"/>
  <c r="C15" i="4"/>
  <c r="D15" i="4"/>
  <c r="E15" i="4"/>
  <c r="F15" i="4"/>
  <c r="G15" i="4"/>
  <c r="H15" i="4"/>
  <c r="I15" i="4"/>
  <c r="J15" i="4"/>
  <c r="K15" i="4"/>
  <c r="L15" i="4"/>
  <c r="N15" i="4" s="1"/>
  <c r="P15" i="4" a="1"/>
  <c r="P15" i="4" s="1"/>
  <c r="A16" i="4"/>
  <c r="B16" i="4"/>
  <c r="C16" i="4"/>
  <c r="D16" i="4"/>
  <c r="M16" i="4" s="1"/>
  <c r="E16" i="4"/>
  <c r="F16" i="4"/>
  <c r="G16" i="4"/>
  <c r="H16" i="4"/>
  <c r="I16" i="4"/>
  <c r="J16" i="4"/>
  <c r="K16" i="4"/>
  <c r="L16" i="4"/>
  <c r="A17" i="4"/>
  <c r="B17" i="4"/>
  <c r="C17" i="4"/>
  <c r="D17" i="4"/>
  <c r="E17" i="4"/>
  <c r="F17" i="4"/>
  <c r="G17" i="4"/>
  <c r="H17" i="4"/>
  <c r="I17" i="4"/>
  <c r="J17" i="4"/>
  <c r="N17" i="4" s="1"/>
  <c r="K17" i="4"/>
  <c r="P17" i="4" s="1" a="1"/>
  <c r="P17" i="4" s="1"/>
  <c r="L17" i="4"/>
  <c r="A18" i="4"/>
  <c r="B18" i="4"/>
  <c r="C18" i="4"/>
  <c r="D18" i="4"/>
  <c r="E18" i="4"/>
  <c r="F18" i="4"/>
  <c r="M18" i="4" s="1"/>
  <c r="G18" i="4"/>
  <c r="H18" i="4"/>
  <c r="I18" i="4"/>
  <c r="J18" i="4"/>
  <c r="K18" i="4"/>
  <c r="L18" i="4"/>
  <c r="A19" i="4"/>
  <c r="B19" i="4"/>
  <c r="C19" i="4"/>
  <c r="D19" i="4"/>
  <c r="E19" i="4"/>
  <c r="F19" i="4"/>
  <c r="G19" i="4"/>
  <c r="H19" i="4"/>
  <c r="I19" i="4"/>
  <c r="J19" i="4"/>
  <c r="K19" i="4"/>
  <c r="L19" i="4"/>
  <c r="N19" i="4" s="1"/>
  <c r="P19" i="4" a="1"/>
  <c r="P19" i="4" s="1"/>
  <c r="A20" i="4"/>
  <c r="B20" i="4"/>
  <c r="C20" i="4"/>
  <c r="D20" i="4"/>
  <c r="M20" i="4" s="1"/>
  <c r="E20" i="4"/>
  <c r="F20" i="4"/>
  <c r="G20" i="4"/>
  <c r="H20" i="4"/>
  <c r="I20" i="4"/>
  <c r="J20" i="4"/>
  <c r="K20" i="4"/>
  <c r="L20" i="4"/>
  <c r="A21" i="4"/>
  <c r="B21" i="4"/>
  <c r="C21" i="4"/>
  <c r="D21" i="4"/>
  <c r="E21" i="4"/>
  <c r="F21" i="4"/>
  <c r="P21" i="4" s="1" a="1"/>
  <c r="P21" i="4" s="1"/>
  <c r="G21" i="4"/>
  <c r="H21" i="4"/>
  <c r="I21" i="4"/>
  <c r="J21" i="4"/>
  <c r="K21" i="4"/>
  <c r="L21" i="4"/>
  <c r="A22" i="4"/>
  <c r="B22" i="4"/>
  <c r="C22" i="4"/>
  <c r="D22" i="4"/>
  <c r="E22" i="4"/>
  <c r="F22" i="4"/>
  <c r="G22" i="4"/>
  <c r="H22" i="4"/>
  <c r="I22" i="4"/>
  <c r="J22" i="4"/>
  <c r="K22" i="4"/>
  <c r="L22" i="4"/>
  <c r="A23" i="4"/>
  <c r="B23" i="4"/>
  <c r="C23" i="4"/>
  <c r="D23" i="4"/>
  <c r="E23" i="4"/>
  <c r="F23" i="4"/>
  <c r="G23" i="4"/>
  <c r="H23" i="4"/>
  <c r="I23" i="4"/>
  <c r="J23" i="4"/>
  <c r="N23" i="4" s="1"/>
  <c r="K23" i="4"/>
  <c r="L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A25" i="4"/>
  <c r="B25" i="4"/>
  <c r="C25" i="4"/>
  <c r="D25" i="4"/>
  <c r="P25" i="4" s="1" a="1"/>
  <c r="P25" i="4" s="1"/>
  <c r="E25" i="4"/>
  <c r="F25" i="4"/>
  <c r="G25" i="4"/>
  <c r="H25" i="4"/>
  <c r="I25" i="4"/>
  <c r="J25" i="4"/>
  <c r="K25" i="4"/>
  <c r="L25" i="4"/>
  <c r="A26" i="4"/>
  <c r="B26" i="4"/>
  <c r="C26" i="4"/>
  <c r="D26" i="4"/>
  <c r="E26" i="4"/>
  <c r="F26" i="4"/>
  <c r="G26" i="4"/>
  <c r="H26" i="4"/>
  <c r="I26" i="4"/>
  <c r="J26" i="4"/>
  <c r="K26" i="4"/>
  <c r="L26" i="4"/>
  <c r="A27" i="4"/>
  <c r="B27" i="4"/>
  <c r="C27" i="4"/>
  <c r="D27" i="4"/>
  <c r="E27" i="4"/>
  <c r="F27" i="4"/>
  <c r="G27" i="4"/>
  <c r="H27" i="4"/>
  <c r="I27" i="4"/>
  <c r="J27" i="4"/>
  <c r="N27" i="4" s="1"/>
  <c r="K27" i="4"/>
  <c r="L27" i="4"/>
  <c r="A28" i="4"/>
  <c r="B28" i="4"/>
  <c r="C28" i="4"/>
  <c r="D28" i="4"/>
  <c r="E28" i="4"/>
  <c r="F28" i="4"/>
  <c r="M28" i="4" s="1"/>
  <c r="G28" i="4"/>
  <c r="H28" i="4"/>
  <c r="I28" i="4"/>
  <c r="J28" i="4"/>
  <c r="K28" i="4"/>
  <c r="L28" i="4"/>
  <c r="A29" i="4"/>
  <c r="B29" i="4"/>
  <c r="C29" i="4"/>
  <c r="D29" i="4"/>
  <c r="E29" i="4"/>
  <c r="F29" i="4"/>
  <c r="G29" i="4"/>
  <c r="H29" i="4"/>
  <c r="I29" i="4"/>
  <c r="J29" i="4"/>
  <c r="K29" i="4"/>
  <c r="L29" i="4"/>
  <c r="P29" i="4" a="1"/>
  <c r="P29" i="4" s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C4" i="2"/>
  <c r="G4" i="2"/>
  <c r="H4" i="2"/>
  <c r="G5" i="7" s="1"/>
  <c r="J4" i="2"/>
  <c r="C5" i="2"/>
  <c r="G5" i="2"/>
  <c r="H5" i="2"/>
  <c r="G9" i="7" s="1"/>
  <c r="J5" i="2"/>
  <c r="C6" i="2"/>
  <c r="G6" i="2"/>
  <c r="H6" i="2"/>
  <c r="J6" i="2"/>
  <c r="H12" i="7" s="1"/>
  <c r="C7" i="2"/>
  <c r="G7" i="2"/>
  <c r="H7" i="2"/>
  <c r="G14" i="7" s="1"/>
  <c r="J7" i="2"/>
  <c r="H14" i="7" s="1"/>
  <c r="C8" i="2"/>
  <c r="G8" i="2"/>
  <c r="H8" i="2"/>
  <c r="G19" i="7" s="1"/>
  <c r="J8" i="2"/>
  <c r="C9" i="2"/>
  <c r="G9" i="2"/>
  <c r="H9" i="2"/>
  <c r="G25" i="7" s="1"/>
  <c r="J9" i="2"/>
  <c r="C10" i="2"/>
  <c r="J10" i="2"/>
  <c r="C11" i="2"/>
  <c r="J11" i="2"/>
  <c r="C12" i="2"/>
  <c r="C13" i="2"/>
  <c r="C14" i="2"/>
  <c r="F3" i="1"/>
  <c r="I3" i="1" s="1"/>
  <c r="F4" i="7" s="1"/>
  <c r="F4" i="1"/>
  <c r="I4" i="1" s="1"/>
  <c r="F5" i="7" s="1"/>
  <c r="F5" i="1"/>
  <c r="I5" i="1" s="1"/>
  <c r="F6" i="7" s="1"/>
  <c r="F6" i="1"/>
  <c r="I6" i="1" s="1"/>
  <c r="F7" i="7" s="1"/>
  <c r="F7" i="1"/>
  <c r="I7" i="1" s="1"/>
  <c r="F8" i="7" s="1"/>
  <c r="F8" i="1"/>
  <c r="I8" i="1" s="1"/>
  <c r="F9" i="7" s="1"/>
  <c r="F9" i="1"/>
  <c r="I9" i="1" s="1"/>
  <c r="F10" i="7" s="1"/>
  <c r="F10" i="1"/>
  <c r="I10" i="1" s="1"/>
  <c r="F11" i="7" s="1"/>
  <c r="F11" i="1"/>
  <c r="I11" i="1" s="1"/>
  <c r="F12" i="7" s="1"/>
  <c r="F12" i="1"/>
  <c r="I12" i="1" s="1"/>
  <c r="F13" i="7" s="1"/>
  <c r="F13" i="1"/>
  <c r="I13" i="1" s="1"/>
  <c r="F14" i="7" s="1"/>
  <c r="F14" i="1"/>
  <c r="I14" i="1" s="1"/>
  <c r="F15" i="7" s="1"/>
  <c r="F15" i="1"/>
  <c r="I15" i="1" s="1"/>
  <c r="F16" i="7" s="1"/>
  <c r="F16" i="1"/>
  <c r="I16" i="1" s="1"/>
  <c r="F17" i="7" s="1"/>
  <c r="F17" i="1"/>
  <c r="I17" i="1" s="1"/>
  <c r="F18" i="7" s="1"/>
  <c r="F18" i="1"/>
  <c r="I18" i="1" s="1"/>
  <c r="F19" i="7" s="1"/>
  <c r="F19" i="1"/>
  <c r="I19" i="1" s="1"/>
  <c r="F20" i="7" s="1"/>
  <c r="F20" i="1"/>
  <c r="I20" i="1" s="1"/>
  <c r="F21" i="7" s="1"/>
  <c r="F21" i="1"/>
  <c r="I21" i="1" s="1"/>
  <c r="F22" i="7" s="1"/>
  <c r="F22" i="1"/>
  <c r="I22" i="1" s="1"/>
  <c r="F23" i="7" s="1"/>
  <c r="F23" i="1"/>
  <c r="I23" i="1" s="1"/>
  <c r="F24" i="7" s="1"/>
  <c r="F24" i="1"/>
  <c r="I24" i="1" s="1"/>
  <c r="F25" i="7" s="1"/>
  <c r="F25" i="1"/>
  <c r="I25" i="1" s="1"/>
  <c r="F26" i="7" s="1"/>
  <c r="F24" i="5" l="1"/>
  <c r="E21" i="5"/>
  <c r="F19" i="5"/>
  <c r="F16" i="5"/>
  <c r="E13" i="5"/>
  <c r="F11" i="5"/>
  <c r="F8" i="5"/>
  <c r="E5" i="5"/>
  <c r="F3" i="5"/>
  <c r="H19" i="7"/>
  <c r="H9" i="7"/>
  <c r="H25" i="7"/>
  <c r="P27" i="4" a="1"/>
  <c r="P27" i="4" s="1"/>
  <c r="N25" i="4"/>
  <c r="N24" i="4"/>
  <c r="M22" i="4"/>
  <c r="F23" i="5"/>
  <c r="G21" i="5"/>
  <c r="F20" i="5"/>
  <c r="F15" i="5"/>
  <c r="G13" i="5"/>
  <c r="F12" i="5"/>
  <c r="F7" i="5"/>
  <c r="G5" i="5"/>
  <c r="F4" i="5"/>
  <c r="I2" i="8"/>
  <c r="J4" i="7"/>
  <c r="G5" i="8" s="1"/>
  <c r="P23" i="4" a="1"/>
  <c r="P23" i="4" s="1"/>
  <c r="N21" i="4"/>
  <c r="H5" i="5"/>
  <c r="G12" i="7"/>
  <c r="N29" i="4"/>
  <c r="O29" i="4" s="1"/>
  <c r="L26" i="7" s="1"/>
  <c r="M29" i="4"/>
  <c r="N28" i="4"/>
  <c r="M26" i="4"/>
  <c r="N11" i="4"/>
  <c r="N10" i="4"/>
  <c r="H24" i="5"/>
  <c r="H22" i="5"/>
  <c r="H19" i="5"/>
  <c r="H16" i="5"/>
  <c r="H14" i="5"/>
  <c r="H11" i="5"/>
  <c r="H8" i="5"/>
  <c r="H6" i="5"/>
  <c r="H3" i="5"/>
  <c r="H5" i="7"/>
  <c r="E11" i="8" s="1"/>
  <c r="M27" i="4"/>
  <c r="O27" i="4" s="1"/>
  <c r="L24" i="7" s="1"/>
  <c r="N26" i="4"/>
  <c r="P26" i="4" a="1"/>
  <c r="P26" i="4" s="1"/>
  <c r="M23" i="4"/>
  <c r="O23" i="4" s="1"/>
  <c r="N22" i="4"/>
  <c r="O22" i="4" s="1"/>
  <c r="L19" i="7" s="1"/>
  <c r="P22" i="4" a="1"/>
  <c r="P22" i="4" s="1"/>
  <c r="M19" i="4"/>
  <c r="O19" i="4" s="1"/>
  <c r="N18" i="4"/>
  <c r="O18" i="4" s="1"/>
  <c r="L15" i="7" s="1"/>
  <c r="P18" i="4" a="1"/>
  <c r="P18" i="4" s="1"/>
  <c r="J15" i="7" s="1"/>
  <c r="M15" i="4"/>
  <c r="O15" i="4" s="1"/>
  <c r="N14" i="4"/>
  <c r="O14" i="4" s="1"/>
  <c r="P14" i="4" a="1"/>
  <c r="P14" i="4" s="1"/>
  <c r="M11" i="4"/>
  <c r="O11" i="4" s="1"/>
  <c r="L8" i="7" s="1"/>
  <c r="O10" i="4"/>
  <c r="P10" i="4" a="1"/>
  <c r="P10" i="4" s="1"/>
  <c r="J7" i="7" s="1"/>
  <c r="M7" i="4"/>
  <c r="O7" i="4" s="1"/>
  <c r="G23" i="5"/>
  <c r="I23" i="5" s="1"/>
  <c r="I24" i="7" s="1"/>
  <c r="F22" i="5"/>
  <c r="G19" i="5"/>
  <c r="F18" i="5"/>
  <c r="G15" i="5"/>
  <c r="I15" i="5" s="1"/>
  <c r="I16" i="7" s="1"/>
  <c r="F14" i="5"/>
  <c r="G11" i="5"/>
  <c r="F10" i="5"/>
  <c r="G7" i="5"/>
  <c r="I7" i="5" s="1"/>
  <c r="I8" i="7" s="1"/>
  <c r="F6" i="5"/>
  <c r="G3" i="5"/>
  <c r="I3" i="5" s="1"/>
  <c r="I4" i="7" s="1"/>
  <c r="O28" i="4"/>
  <c r="L25" i="7" s="1"/>
  <c r="P28" i="4" a="1"/>
  <c r="P28" i="4" s="1"/>
  <c r="M25" i="4"/>
  <c r="O25" i="4" s="1"/>
  <c r="L22" i="7" s="1"/>
  <c r="O24" i="4"/>
  <c r="L21" i="7" s="1"/>
  <c r="P24" i="4" a="1"/>
  <c r="P24" i="4" s="1"/>
  <c r="J21" i="7" s="1"/>
  <c r="M21" i="4"/>
  <c r="O21" i="4" s="1"/>
  <c r="N20" i="4"/>
  <c r="O20" i="4" s="1"/>
  <c r="L17" i="7" s="1"/>
  <c r="P20" i="4" a="1"/>
  <c r="P20" i="4" s="1"/>
  <c r="M17" i="4"/>
  <c r="O17" i="4" s="1"/>
  <c r="L14" i="7" s="1"/>
  <c r="N16" i="4"/>
  <c r="O16" i="4" s="1"/>
  <c r="P16" i="4" a="1"/>
  <c r="P16" i="4" s="1"/>
  <c r="M13" i="4"/>
  <c r="O13" i="4" s="1"/>
  <c r="L10" i="7" s="1"/>
  <c r="N12" i="4"/>
  <c r="O12" i="4" s="1"/>
  <c r="P12" i="4" a="1"/>
  <c r="P12" i="4" s="1"/>
  <c r="M9" i="4"/>
  <c r="O9" i="4" s="1"/>
  <c r="L6" i="7" s="1"/>
  <c r="I17" i="8" s="1"/>
  <c r="N8" i="4"/>
  <c r="O8" i="4" s="1"/>
  <c r="P8" i="4" a="1"/>
  <c r="P8" i="4" s="1"/>
  <c r="J5" i="7" s="1"/>
  <c r="G11" i="8" s="1"/>
  <c r="J25" i="7"/>
  <c r="J19" i="7"/>
  <c r="J11" i="7"/>
  <c r="J9" i="7"/>
  <c r="J23" i="7"/>
  <c r="J17" i="7"/>
  <c r="J13" i="7"/>
  <c r="G24" i="5"/>
  <c r="I24" i="5" s="1"/>
  <c r="I25" i="7" s="1"/>
  <c r="G22" i="5"/>
  <c r="I22" i="5" s="1"/>
  <c r="I23" i="7" s="1"/>
  <c r="K23" i="7" s="1"/>
  <c r="G20" i="5"/>
  <c r="G18" i="5"/>
  <c r="G16" i="5"/>
  <c r="G14" i="5"/>
  <c r="I14" i="5" s="1"/>
  <c r="I15" i="7" s="1"/>
  <c r="G12" i="5"/>
  <c r="G10" i="5"/>
  <c r="G8" i="5"/>
  <c r="G6" i="5"/>
  <c r="I6" i="5" s="1"/>
  <c r="I7" i="7" s="1"/>
  <c r="G4" i="5"/>
  <c r="I4" i="5" s="1"/>
  <c r="I5" i="7" s="1"/>
  <c r="I26" i="7"/>
  <c r="I18" i="7"/>
  <c r="L13" i="7"/>
  <c r="L11" i="7"/>
  <c r="I10" i="7"/>
  <c r="L9" i="7"/>
  <c r="L7" i="7"/>
  <c r="L5" i="7"/>
  <c r="E23" i="8"/>
  <c r="C23" i="8"/>
  <c r="A23" i="8"/>
  <c r="I20" i="8"/>
  <c r="D17" i="8"/>
  <c r="B17" i="8"/>
  <c r="E14" i="8"/>
  <c r="I11" i="8"/>
  <c r="C11" i="8"/>
  <c r="A11" i="8"/>
  <c r="I8" i="8"/>
  <c r="D5" i="8"/>
  <c r="B5" i="8"/>
  <c r="E2" i="8"/>
  <c r="J26" i="7"/>
  <c r="G23" i="8" s="1"/>
  <c r="J24" i="7"/>
  <c r="J22" i="7"/>
  <c r="L20" i="7"/>
  <c r="J20" i="7"/>
  <c r="L18" i="7"/>
  <c r="J18" i="7"/>
  <c r="L16" i="7"/>
  <c r="J16" i="7"/>
  <c r="J14" i="7"/>
  <c r="L12" i="7"/>
  <c r="J12" i="7"/>
  <c r="J10" i="7"/>
  <c r="J8" i="7"/>
  <c r="J6" i="7"/>
  <c r="G17" i="8" s="1"/>
  <c r="L4" i="7"/>
  <c r="F23" i="8"/>
  <c r="D23" i="8"/>
  <c r="B23" i="8"/>
  <c r="E20" i="8"/>
  <c r="E17" i="8"/>
  <c r="C17" i="8"/>
  <c r="A17" i="8"/>
  <c r="I14" i="8"/>
  <c r="D11" i="8"/>
  <c r="B11" i="8"/>
  <c r="E8" i="8"/>
  <c r="I5" i="8"/>
  <c r="E5" i="8"/>
  <c r="C5" i="8"/>
  <c r="A5" i="8"/>
  <c r="K7" i="7" l="1"/>
  <c r="K16" i="7"/>
  <c r="I8" i="5"/>
  <c r="I9" i="7" s="1"/>
  <c r="K9" i="7" s="1"/>
  <c r="I16" i="5"/>
  <c r="I17" i="7" s="1"/>
  <c r="K17" i="7" s="1"/>
  <c r="M17" i="7" s="1"/>
  <c r="N17" i="7" s="1"/>
  <c r="O17" i="7" s="1"/>
  <c r="I10" i="5"/>
  <c r="I11" i="7" s="1"/>
  <c r="K11" i="7" s="1"/>
  <c r="I18" i="5"/>
  <c r="I19" i="7" s="1"/>
  <c r="K19" i="7" s="1"/>
  <c r="I11" i="5"/>
  <c r="I12" i="7" s="1"/>
  <c r="K12" i="7" s="1"/>
  <c r="M12" i="7" s="1"/>
  <c r="N12" i="7" s="1"/>
  <c r="O12" i="7" s="1"/>
  <c r="I21" i="5"/>
  <c r="I22" i="7" s="1"/>
  <c r="K22" i="7" s="1"/>
  <c r="M22" i="7" s="1"/>
  <c r="N22" i="7" s="1"/>
  <c r="O22" i="7" s="1"/>
  <c r="K8" i="7"/>
  <c r="K24" i="7"/>
  <c r="I5" i="5"/>
  <c r="I6" i="7" s="1"/>
  <c r="F17" i="8" s="1"/>
  <c r="K25" i="7"/>
  <c r="M25" i="7" s="1"/>
  <c r="N25" i="7" s="1"/>
  <c r="O25" i="7" s="1"/>
  <c r="I19" i="5"/>
  <c r="I20" i="7" s="1"/>
  <c r="K20" i="7" s="1"/>
  <c r="I12" i="5"/>
  <c r="I13" i="7" s="1"/>
  <c r="K13" i="7" s="1"/>
  <c r="I20" i="5"/>
  <c r="I21" i="7" s="1"/>
  <c r="K21" i="7" s="1"/>
  <c r="M21" i="7" s="1"/>
  <c r="N21" i="7" s="1"/>
  <c r="O21" i="7" s="1"/>
  <c r="O26" i="4"/>
  <c r="L23" i="7" s="1"/>
  <c r="I13" i="5"/>
  <c r="I14" i="7" s="1"/>
  <c r="K14" i="7" s="1"/>
  <c r="M14" i="7" s="1"/>
  <c r="N14" i="7" s="1"/>
  <c r="O14" i="7" s="1"/>
  <c r="K4" i="7"/>
  <c r="F5" i="8"/>
  <c r="K18" i="7"/>
  <c r="M18" i="7" s="1"/>
  <c r="N18" i="7" s="1"/>
  <c r="O18" i="7" s="1"/>
  <c r="K26" i="7"/>
  <c r="M26" i="7" s="1"/>
  <c r="N26" i="7" s="1"/>
  <c r="L23" i="8" s="1"/>
  <c r="K15" i="7"/>
  <c r="K6" i="7"/>
  <c r="M6" i="7" s="1"/>
  <c r="N6" i="7" s="1"/>
  <c r="L17" i="8" s="1"/>
  <c r="K10" i="7"/>
  <c r="M10" i="7" s="1"/>
  <c r="N10" i="7" s="1"/>
  <c r="O10" i="7" s="1"/>
  <c r="M4" i="7"/>
  <c r="N4" i="7" s="1"/>
  <c r="L5" i="8" s="1"/>
  <c r="H5" i="8"/>
  <c r="M8" i="7"/>
  <c r="M9" i="7"/>
  <c r="N9" i="7" s="1"/>
  <c r="O9" i="7" s="1"/>
  <c r="K5" i="7"/>
  <c r="F11" i="8"/>
  <c r="M13" i="7"/>
  <c r="N13" i="7" s="1"/>
  <c r="O13" i="7" s="1"/>
  <c r="M16" i="7"/>
  <c r="N16" i="7" s="1"/>
  <c r="O16" i="7" s="1"/>
  <c r="M20" i="7"/>
  <c r="N20" i="7" s="1"/>
  <c r="O20" i="7" s="1"/>
  <c r="M24" i="7"/>
  <c r="N24" i="7" s="1"/>
  <c r="O24" i="7" s="1"/>
  <c r="H23" i="8"/>
  <c r="M7" i="7"/>
  <c r="N7" i="7" s="1"/>
  <c r="O7" i="7" s="1"/>
  <c r="M11" i="7"/>
  <c r="M15" i="7"/>
  <c r="N15" i="7" s="1"/>
  <c r="O15" i="7" s="1"/>
  <c r="M19" i="7"/>
  <c r="N19" i="7" s="1"/>
  <c r="O19" i="7" s="1"/>
  <c r="M23" i="7"/>
  <c r="N11" i="7"/>
  <c r="O11" i="7" s="1"/>
  <c r="N8" i="7"/>
  <c r="O8" i="7" s="1"/>
  <c r="I23" i="8"/>
  <c r="H17" i="8" l="1"/>
  <c r="N23" i="7"/>
  <c r="O23" i="7" s="1"/>
  <c r="M5" i="7"/>
  <c r="H11" i="8"/>
  <c r="J5" i="8"/>
  <c r="K5" i="8"/>
  <c r="O6" i="7"/>
  <c r="L14" i="8" s="1"/>
  <c r="K23" i="8"/>
  <c r="J23" i="8"/>
  <c r="K17" i="8"/>
  <c r="J17" i="8"/>
  <c r="O26" i="7"/>
  <c r="L20" i="8" s="1"/>
  <c r="O4" i="7"/>
  <c r="L2" i="8" s="1"/>
  <c r="K11" i="8" l="1"/>
  <c r="J11" i="8"/>
  <c r="N5" i="7"/>
  <c r="L11" i="8" l="1"/>
  <c r="O5" i="7"/>
  <c r="L8" i="8" s="1"/>
</calcChain>
</file>

<file path=xl/sharedStrings.xml><?xml version="1.0" encoding="utf-8"?>
<sst xmlns="http://schemas.openxmlformats.org/spreadsheetml/2006/main" count="344" uniqueCount="183">
  <si>
    <t>职员</t>
    <phoneticPr fontId="1" type="noConversion"/>
  </si>
  <si>
    <t>行销企划部</t>
    <phoneticPr fontId="1" type="noConversion"/>
  </si>
  <si>
    <t>赵中华</t>
    <phoneticPr fontId="1" type="noConversion"/>
  </si>
  <si>
    <t>RQ_0023</t>
  </si>
  <si>
    <t>销售部</t>
    <phoneticPr fontId="1" type="noConversion"/>
  </si>
  <si>
    <t>谭风明</t>
    <phoneticPr fontId="1" type="noConversion"/>
  </si>
  <si>
    <t>RQ_0022</t>
  </si>
  <si>
    <t>网络安全部</t>
    <phoneticPr fontId="1" type="noConversion"/>
  </si>
  <si>
    <t>方琛菲</t>
  </si>
  <si>
    <t>RQ_0021</t>
  </si>
  <si>
    <r>
      <t>史佳</t>
    </r>
    <r>
      <rPr>
        <sz val="10"/>
        <color theme="1"/>
        <rFont val="宋体"/>
        <family val="3"/>
        <charset val="134"/>
      </rPr>
      <t>颖</t>
    </r>
  </si>
  <si>
    <t>RQ_0020</t>
  </si>
  <si>
    <t>人事部</t>
    <phoneticPr fontId="1" type="noConversion"/>
  </si>
  <si>
    <r>
      <t>吴</t>
    </r>
    <r>
      <rPr>
        <sz val="10"/>
        <color theme="1"/>
        <rFont val="Dotum"/>
        <family val="2"/>
        <charset val="129"/>
      </rPr>
      <t>文</t>
    </r>
    <r>
      <rPr>
        <sz val="10"/>
        <color theme="1"/>
        <rFont val="宋体"/>
        <family val="3"/>
        <charset val="134"/>
      </rPr>
      <t>铮</t>
    </r>
  </si>
  <si>
    <t>RQ_0019</t>
  </si>
  <si>
    <t>服务部</t>
    <phoneticPr fontId="1" type="noConversion"/>
  </si>
  <si>
    <r>
      <t>郑</t>
    </r>
    <r>
      <rPr>
        <sz val="10"/>
        <color theme="1"/>
        <rFont val="Dotum"/>
        <family val="2"/>
        <charset val="129"/>
      </rPr>
      <t>辰</t>
    </r>
  </si>
  <si>
    <t>RQ_0018</t>
  </si>
  <si>
    <t>秦超</t>
  </si>
  <si>
    <t>RQ_0017</t>
  </si>
  <si>
    <r>
      <t>冯</t>
    </r>
    <r>
      <rPr>
        <sz val="10"/>
        <color theme="1"/>
        <rFont val="Dotum"/>
        <family val="2"/>
        <charset val="129"/>
      </rPr>
      <t>亦梁</t>
    </r>
  </si>
  <si>
    <t>RQ_0016</t>
  </si>
  <si>
    <t>周文超</t>
  </si>
  <si>
    <t>RQ_0015</t>
  </si>
  <si>
    <r>
      <t>刘</t>
    </r>
    <r>
      <rPr>
        <sz val="10"/>
        <color theme="1"/>
        <rFont val="Dotum"/>
        <family val="2"/>
        <charset val="129"/>
      </rPr>
      <t>洋</t>
    </r>
  </si>
  <si>
    <t>RQ_0014</t>
  </si>
  <si>
    <t>经理</t>
    <phoneticPr fontId="1" type="noConversion"/>
  </si>
  <si>
    <r>
      <t>吴圣</t>
    </r>
    <r>
      <rPr>
        <sz val="10"/>
        <color theme="1"/>
        <rFont val="Dotum"/>
        <family val="2"/>
        <charset val="129"/>
      </rPr>
      <t>仁</t>
    </r>
  </si>
  <si>
    <t>RQ_0013</t>
  </si>
  <si>
    <r>
      <t>顾</t>
    </r>
    <r>
      <rPr>
        <sz val="10"/>
        <color theme="1"/>
        <rFont val="Dotum"/>
        <family val="2"/>
        <charset val="129"/>
      </rPr>
      <t>昊天</t>
    </r>
  </si>
  <si>
    <t>RQ_0012</t>
  </si>
  <si>
    <r>
      <t>张</t>
    </r>
    <r>
      <rPr>
        <sz val="10"/>
        <color theme="1"/>
        <rFont val="Dotum"/>
        <family val="2"/>
        <charset val="129"/>
      </rPr>
      <t>哲</t>
    </r>
  </si>
  <si>
    <t>RQ_0011</t>
  </si>
  <si>
    <t>财务部</t>
    <phoneticPr fontId="1" type="noConversion"/>
  </si>
  <si>
    <r>
      <t>谢</t>
    </r>
    <r>
      <rPr>
        <sz val="10"/>
        <color theme="1"/>
        <rFont val="Dotum"/>
        <family val="2"/>
        <charset val="129"/>
      </rPr>
      <t>正平</t>
    </r>
  </si>
  <si>
    <t>RQ_0010</t>
  </si>
  <si>
    <r>
      <t>金昌</t>
    </r>
    <r>
      <rPr>
        <sz val="10"/>
        <color theme="1"/>
        <rFont val="宋体"/>
        <family val="3"/>
        <charset val="134"/>
      </rPr>
      <t>硕</t>
    </r>
  </si>
  <si>
    <t>RQ_0009</t>
  </si>
  <si>
    <r>
      <t>胡</t>
    </r>
    <r>
      <rPr>
        <sz val="10"/>
        <color theme="1"/>
        <rFont val="宋体"/>
        <family val="3"/>
        <charset val="134"/>
      </rPr>
      <t>晓</t>
    </r>
    <r>
      <rPr>
        <sz val="10"/>
        <color theme="1"/>
        <rFont val="Dotum"/>
        <family val="2"/>
        <charset val="129"/>
      </rPr>
      <t>峰</t>
    </r>
  </si>
  <si>
    <t>RQ_0008</t>
  </si>
  <si>
    <t>罗梦龙</t>
    <phoneticPr fontId="1" type="noConversion"/>
  </si>
  <si>
    <t>RQ_0007</t>
  </si>
  <si>
    <t>栗立</t>
  </si>
  <si>
    <t>RQ_0006</t>
  </si>
  <si>
    <r>
      <t>张颖</t>
    </r>
    <r>
      <rPr>
        <sz val="10"/>
        <color theme="1"/>
        <rFont val="Dotum"/>
        <family val="2"/>
        <charset val="129"/>
      </rPr>
      <t>先</t>
    </r>
  </si>
  <si>
    <t>RQ_0005</t>
  </si>
  <si>
    <r>
      <t>王</t>
    </r>
    <r>
      <rPr>
        <sz val="10"/>
        <color theme="1"/>
        <rFont val="宋体"/>
        <family val="3"/>
        <charset val="134"/>
      </rPr>
      <t>赣</t>
    </r>
    <r>
      <rPr>
        <sz val="10"/>
        <color theme="1"/>
        <rFont val="Dotum"/>
        <family val="2"/>
        <charset val="129"/>
      </rPr>
      <t>超</t>
    </r>
  </si>
  <si>
    <t>RQ_0004</t>
  </si>
  <si>
    <r>
      <t>黄</t>
    </r>
    <r>
      <rPr>
        <sz val="10"/>
        <color theme="1"/>
        <rFont val="Dotum"/>
        <family val="2"/>
        <charset val="129"/>
      </rPr>
      <t>炫</t>
    </r>
    <r>
      <rPr>
        <sz val="10"/>
        <color theme="1"/>
        <rFont val="宋体"/>
        <family val="3"/>
        <charset val="134"/>
      </rPr>
      <t>龙</t>
    </r>
  </si>
  <si>
    <t>RQ_0003</t>
  </si>
  <si>
    <r>
      <t>陈</t>
    </r>
    <r>
      <rPr>
        <sz val="10"/>
        <color theme="1"/>
        <rFont val="Dotum"/>
        <family val="2"/>
        <charset val="129"/>
      </rPr>
      <t>佳</t>
    </r>
    <r>
      <rPr>
        <sz val="10"/>
        <color theme="1"/>
        <rFont val="宋体"/>
        <family val="3"/>
        <charset val="134"/>
      </rPr>
      <t>栋</t>
    </r>
  </si>
  <si>
    <t>RQ_0002</t>
  </si>
  <si>
    <t>总监</t>
    <phoneticPr fontId="1" type="noConversion"/>
  </si>
  <si>
    <r>
      <t>黄</t>
    </r>
    <r>
      <rPr>
        <sz val="10"/>
        <color theme="1"/>
        <rFont val="Dotum"/>
        <family val="2"/>
        <charset val="129"/>
      </rPr>
      <t>昕</t>
    </r>
    <r>
      <rPr>
        <sz val="10"/>
        <color theme="1"/>
        <rFont val="宋体"/>
        <family val="3"/>
        <charset val="134"/>
      </rPr>
      <t>恺</t>
    </r>
  </si>
  <si>
    <t>RQ_0001</t>
  </si>
  <si>
    <t>工龄工资</t>
    <phoneticPr fontId="1" type="noConversion"/>
  </si>
  <si>
    <t>岗位工资</t>
    <phoneticPr fontId="1" type="noConversion"/>
  </si>
  <si>
    <t>基本工资</t>
    <phoneticPr fontId="1" type="noConversion"/>
  </si>
  <si>
    <t>工龄</t>
    <phoneticPr fontId="1" type="noConversion"/>
  </si>
  <si>
    <t>入公司日期</t>
    <phoneticPr fontId="1" type="noConversion"/>
  </si>
  <si>
    <t>职位</t>
    <phoneticPr fontId="1" type="noConversion"/>
  </si>
  <si>
    <t>所属部门</t>
    <phoneticPr fontId="1" type="noConversion"/>
  </si>
  <si>
    <t>姓名</t>
    <phoneticPr fontId="1" type="noConversion"/>
  </si>
  <si>
    <t>编号</t>
    <phoneticPr fontId="1" type="noConversion"/>
  </si>
  <si>
    <t>员工基本工资记录表</t>
    <phoneticPr fontId="1" type="noConversion"/>
  </si>
  <si>
    <t>提成率</t>
    <phoneticPr fontId="1" type="noConversion"/>
  </si>
  <si>
    <t>销售额</t>
    <phoneticPr fontId="1" type="noConversion"/>
  </si>
  <si>
    <r>
      <t>浪费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GungsuhChe"/>
        <family val="3"/>
        <charset val="129"/>
      </rPr>
      <t>源</t>
    </r>
    <phoneticPr fontId="1" type="noConversion"/>
  </si>
  <si>
    <t>工作失误</t>
    <phoneticPr fontId="1" type="noConversion"/>
  </si>
  <si>
    <r>
      <t>最佳服</t>
    </r>
    <r>
      <rPr>
        <sz val="10"/>
        <color theme="1"/>
        <rFont val="宋体"/>
        <family val="3"/>
        <charset val="134"/>
      </rPr>
      <t>务态度</t>
    </r>
    <phoneticPr fontId="1" type="noConversion"/>
  </si>
  <si>
    <t>改进防毒方案</t>
    <phoneticPr fontId="1" type="noConversion"/>
  </si>
  <si>
    <t>项目提前完成</t>
    <phoneticPr fontId="1" type="noConversion"/>
  </si>
  <si>
    <r>
      <t>客</t>
    </r>
    <r>
      <rPr>
        <sz val="10"/>
        <color theme="1"/>
        <rFont val="宋体"/>
        <family val="3"/>
        <charset val="134"/>
      </rPr>
      <t>户投诉</t>
    </r>
    <phoneticPr fontId="1" type="noConversion"/>
  </si>
  <si>
    <t>RQ_0002</t>
    <phoneticPr fontId="1" type="noConversion"/>
  </si>
  <si>
    <t>扣款说明</t>
    <phoneticPr fontId="1" type="noConversion"/>
  </si>
  <si>
    <t>奖励说明</t>
    <phoneticPr fontId="1" type="noConversion"/>
  </si>
  <si>
    <t>销售业绩</t>
    <phoneticPr fontId="1" type="noConversion"/>
  </si>
  <si>
    <t>最佳销售奖归属</t>
    <phoneticPr fontId="1" type="noConversion"/>
  </si>
  <si>
    <t>扣款金额</t>
    <phoneticPr fontId="1" type="noConversion"/>
  </si>
  <si>
    <t>提成或奖金额</t>
    <phoneticPr fontId="1" type="noConversion"/>
  </si>
  <si>
    <t>提成率</t>
    <phoneticPr fontId="1" type="noConversion"/>
  </si>
  <si>
    <t>奖励或扣款说明</t>
    <phoneticPr fontId="1" type="noConversion"/>
  </si>
  <si>
    <t>奖、罚款记录表</t>
    <phoneticPr fontId="1" type="noConversion"/>
  </si>
  <si>
    <t>事假</t>
  </si>
  <si>
    <t>迟到1</t>
  </si>
  <si>
    <t>病假</t>
  </si>
  <si>
    <t>旷工</t>
  </si>
  <si>
    <t>迟到2</t>
  </si>
  <si>
    <t>迟到3</t>
  </si>
  <si>
    <t>年假</t>
  </si>
  <si>
    <t>婚假</t>
  </si>
  <si>
    <t>迟到扣款制度：迟到半小时内（用“迟到1”表示）罚款10元；迟到半小时-1小时间（用“迟到2”表示）罚款30元；迟到1小时以上（用“迟到3”表示）算旷工半天。</t>
    <phoneticPr fontId="1" type="noConversion"/>
  </si>
  <si>
    <t>本 月 考 勤 表</t>
    <phoneticPr fontId="1" type="noConversion"/>
  </si>
  <si>
    <t>满勤奖金</t>
    <phoneticPr fontId="1" type="noConversion"/>
  </si>
  <si>
    <t>扣款合计</t>
    <phoneticPr fontId="1" type="noConversion"/>
  </si>
  <si>
    <t>迟到扣款</t>
    <phoneticPr fontId="1" type="noConversion"/>
  </si>
  <si>
    <t>请假扣款</t>
    <phoneticPr fontId="1" type="noConversion"/>
  </si>
  <si>
    <t>迟到3</t>
    <phoneticPr fontId="1" type="noConversion"/>
  </si>
  <si>
    <t>迟到2</t>
    <phoneticPr fontId="1" type="noConversion"/>
  </si>
  <si>
    <t>迟到1</t>
    <phoneticPr fontId="1" type="noConversion"/>
  </si>
  <si>
    <t>孕假</t>
    <phoneticPr fontId="1" type="noConversion"/>
  </si>
  <si>
    <t>婚假</t>
    <phoneticPr fontId="1" type="noConversion"/>
  </si>
  <si>
    <t>年假</t>
    <phoneticPr fontId="1" type="noConversion"/>
  </si>
  <si>
    <t>旷工</t>
    <phoneticPr fontId="1" type="noConversion"/>
  </si>
  <si>
    <t>事假</t>
    <phoneticPr fontId="1" type="noConversion"/>
  </si>
  <si>
    <t>病假</t>
    <phoneticPr fontId="1" type="noConversion"/>
  </si>
  <si>
    <t>所属部门</t>
    <phoneticPr fontId="1" type="noConversion"/>
  </si>
  <si>
    <t>姓名</t>
    <phoneticPr fontId="1" type="noConversion"/>
  </si>
  <si>
    <t>编号</t>
    <phoneticPr fontId="1" type="noConversion"/>
  </si>
  <si>
    <t>奖惩金额</t>
    <phoneticPr fontId="1" type="noConversion"/>
  </si>
  <si>
    <t>迟到记录</t>
    <phoneticPr fontId="1" type="noConversion"/>
  </si>
  <si>
    <t>请假记录</t>
    <phoneticPr fontId="1" type="noConversion"/>
  </si>
  <si>
    <t>职员信息</t>
    <phoneticPr fontId="1" type="noConversion"/>
  </si>
  <si>
    <t>奖励制度：满勤奖为200元/月。</t>
    <phoneticPr fontId="1" type="noConversion"/>
  </si>
  <si>
    <t>扣款制度：病假扣款为50元/天、事假扣款为100元/天、旷工扣款为200元/天、其他假别不扣款。                                                                                                                                                     “迟到1”扣款10元；迟到2”扣款30元；“迟到3”扣款100元。</t>
    <phoneticPr fontId="1" type="noConversion"/>
  </si>
  <si>
    <t>工作日数</t>
    <phoneticPr fontId="1" type="noConversion"/>
  </si>
  <si>
    <t>本月考勤统计表</t>
    <phoneticPr fontId="1" type="noConversion"/>
  </si>
  <si>
    <t>合计</t>
    <phoneticPr fontId="1" type="noConversion"/>
  </si>
  <si>
    <t>医疗补贴</t>
    <phoneticPr fontId="1" type="noConversion"/>
  </si>
  <si>
    <t>交通补贴</t>
    <phoneticPr fontId="1" type="noConversion"/>
  </si>
  <si>
    <t>伙食补贴</t>
    <phoneticPr fontId="1" type="noConversion"/>
  </si>
  <si>
    <t>住房补贴</t>
    <phoneticPr fontId="1" type="noConversion"/>
  </si>
  <si>
    <t>职位</t>
    <phoneticPr fontId="1" type="noConversion"/>
  </si>
  <si>
    <t>员工福利待遇表</t>
    <phoneticPr fontId="1" type="noConversion"/>
  </si>
  <si>
    <t>应纳税所得额*适用税率- 速算扣除数</t>
  </si>
  <si>
    <r>
      <rPr>
        <sz val="11"/>
        <color theme="1"/>
        <rFont val="宋体"/>
        <family val="3"/>
        <charset val="134"/>
      </rPr>
      <t>超过</t>
    </r>
    <r>
      <rPr>
        <sz val="11"/>
        <color theme="1"/>
        <rFont val="Arial"/>
        <family val="2"/>
      </rPr>
      <t>100000</t>
    </r>
    <r>
      <rPr>
        <sz val="11"/>
        <color theme="1"/>
        <rFont val="宋体"/>
        <family val="3"/>
        <charset val="134"/>
      </rPr>
      <t>元的部分</t>
    </r>
    <r>
      <rPr>
        <sz val="11"/>
        <color theme="1"/>
        <rFont val="Arial"/>
        <family val="2"/>
      </rPr>
      <t xml:space="preserve"> </t>
    </r>
    <phoneticPr fontId="1" type="noConversion"/>
  </si>
  <si>
    <t>超过80000～100000元部分           40%                 10376  </t>
    <phoneticPr fontId="1" type="noConversion"/>
  </si>
  <si>
    <t>超过60000～80000元部分           40%                 10375  </t>
    <phoneticPr fontId="1" type="noConversion"/>
  </si>
  <si>
    <t>超过40000～60000元部分    </t>
    <phoneticPr fontId="1" type="noConversion"/>
  </si>
  <si>
    <t>超过20000～40000元部分            25%                </t>
    <phoneticPr fontId="1" type="noConversion"/>
  </si>
  <si>
    <t>超过5000～20000元部分</t>
    <phoneticPr fontId="1" type="noConversion"/>
  </si>
  <si>
    <t>超过2000～5000元部分</t>
    <phoneticPr fontId="1" type="noConversion"/>
  </si>
  <si>
    <t>超过800～2000元部分</t>
    <phoneticPr fontId="1" type="noConversion"/>
  </si>
  <si>
    <t>不超过800元部分</t>
    <phoneticPr fontId="1" type="noConversion"/>
  </si>
  <si>
    <t>速扣数</t>
    <phoneticPr fontId="1" type="noConversion"/>
  </si>
  <si>
    <t>税率</t>
    <phoneticPr fontId="1" type="noConversion"/>
  </si>
  <si>
    <t>全月应缴所得税</t>
    <phoneticPr fontId="1" type="noConversion"/>
  </si>
  <si>
    <t>税级</t>
    <phoneticPr fontId="1" type="noConversion"/>
  </si>
  <si>
    <r>
      <t xml:space="preserve"> =应发合计</t>
    </r>
    <r>
      <rPr>
        <sz val="11"/>
        <color theme="1"/>
        <rFont val="Dotum"/>
        <family val="2"/>
        <charset val="129"/>
      </rPr>
      <t>-起征点</t>
    </r>
    <phoneticPr fontId="1" type="noConversion"/>
  </si>
  <si>
    <t>应缴所得税</t>
    <phoneticPr fontId="1" type="noConversion"/>
  </si>
  <si>
    <t>起征点</t>
    <phoneticPr fontId="1" type="noConversion"/>
  </si>
  <si>
    <t>个人所得税</t>
    <phoneticPr fontId="1" type="noConversion"/>
  </si>
  <si>
    <t>实发工资</t>
    <phoneticPr fontId="1" type="noConversion"/>
  </si>
  <si>
    <t>应扣合计</t>
    <phoneticPr fontId="1" type="noConversion"/>
  </si>
  <si>
    <t>个人所得税</t>
    <phoneticPr fontId="1" type="noConversion"/>
  </si>
  <si>
    <t>请假迟到扣款</t>
    <phoneticPr fontId="1" type="noConversion"/>
  </si>
  <si>
    <t>应发工资</t>
    <phoneticPr fontId="1" type="noConversion"/>
  </si>
  <si>
    <t>满勤奖金</t>
    <phoneticPr fontId="1" type="noConversion"/>
  </si>
  <si>
    <t>福利待遇</t>
    <phoneticPr fontId="1" type="noConversion"/>
  </si>
  <si>
    <t>最佳销售</t>
    <phoneticPr fontId="1" type="noConversion"/>
  </si>
  <si>
    <t>提成或奖金</t>
    <phoneticPr fontId="1" type="noConversion"/>
  </si>
  <si>
    <t>工龄工资</t>
    <phoneticPr fontId="1" type="noConversion"/>
  </si>
  <si>
    <t>岗位工资</t>
    <phoneticPr fontId="1" type="noConversion"/>
  </si>
  <si>
    <t>基本工资</t>
    <phoneticPr fontId="1" type="noConversion"/>
  </si>
  <si>
    <t>所属部门</t>
    <phoneticPr fontId="1" type="noConversion"/>
  </si>
  <si>
    <t>姓名</t>
    <phoneticPr fontId="1" type="noConversion"/>
  </si>
  <si>
    <t>编号</t>
    <phoneticPr fontId="1" type="noConversion"/>
  </si>
  <si>
    <t>本月工资统计表</t>
    <phoneticPr fontId="1" type="noConversion"/>
  </si>
  <si>
    <t>其他扣款</t>
    <phoneticPr fontId="1" type="noConversion"/>
  </si>
  <si>
    <t>个人所得税</t>
    <phoneticPr fontId="1" type="noConversion"/>
  </si>
  <si>
    <t>请假扣款</t>
    <phoneticPr fontId="1" type="noConversion"/>
  </si>
  <si>
    <t>应发工资</t>
    <phoneticPr fontId="1" type="noConversion"/>
  </si>
  <si>
    <t>其他补贴</t>
    <phoneticPr fontId="1" type="noConversion"/>
  </si>
  <si>
    <t>加班奖金</t>
    <phoneticPr fontId="1" type="noConversion"/>
  </si>
  <si>
    <t>满勤奖金</t>
    <phoneticPr fontId="1" type="noConversion"/>
  </si>
  <si>
    <t>提成或奖金</t>
    <phoneticPr fontId="1" type="noConversion"/>
  </si>
  <si>
    <t>工龄工资</t>
    <phoneticPr fontId="1" type="noConversion"/>
  </si>
  <si>
    <t>岗位工资</t>
    <phoneticPr fontId="1" type="noConversion"/>
  </si>
  <si>
    <t>基本工资</t>
    <phoneticPr fontId="1" type="noConversion"/>
  </si>
  <si>
    <t>以下为工资明细：</t>
    <phoneticPr fontId="1" type="noConversion"/>
  </si>
  <si>
    <t>实发工资</t>
    <phoneticPr fontId="1" type="noConversion"/>
  </si>
  <si>
    <t>部门</t>
    <phoneticPr fontId="1" type="noConversion"/>
  </si>
  <si>
    <t>姓名</t>
    <phoneticPr fontId="1" type="noConversion"/>
  </si>
  <si>
    <t>RQ0004</t>
    <phoneticPr fontId="1" type="noConversion"/>
  </si>
  <si>
    <r>
      <t>编号</t>
    </r>
    <r>
      <rPr>
        <sz val="11"/>
        <color theme="3" tint="-0.249977111117893"/>
        <rFont val="Forte"/>
        <family val="4"/>
      </rPr>
      <t/>
    </r>
    <phoneticPr fontId="1" type="noConversion"/>
  </si>
  <si>
    <r>
      <rPr>
        <b/>
        <u val="singleAccounting"/>
        <sz val="20"/>
        <rFont val="汉仪楷体简"/>
        <family val="3"/>
        <charset val="134"/>
      </rPr>
      <t>本月工资单</t>
    </r>
    <r>
      <rPr>
        <sz val="14"/>
        <color theme="3" tint="-0.249977111117893"/>
        <rFont val="方正行楷简体"/>
        <family val="3"/>
        <charset val="134"/>
      </rPr>
      <t>（瑞奇科技）</t>
    </r>
    <phoneticPr fontId="1" type="noConversion"/>
  </si>
  <si>
    <t>RQ_0003</t>
    <phoneticPr fontId="1" type="noConversion"/>
  </si>
  <si>
    <t>应扣合计</t>
    <phoneticPr fontId="1" type="noConversion"/>
  </si>
  <si>
    <t>请假迟到扣款</t>
    <phoneticPr fontId="1" type="noConversion"/>
  </si>
  <si>
    <t>福利待遇</t>
    <phoneticPr fontId="1" type="noConversion"/>
  </si>
  <si>
    <t>最佳销售</t>
    <phoneticPr fontId="1" type="noConversion"/>
  </si>
  <si>
    <t>RQ_0002</t>
    <phoneticPr fontId="1" type="noConversion"/>
  </si>
  <si>
    <t>RQ_0001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</si>
</sst>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[$-804]aaaa;@"/>
    <numFmt numFmtId="178" formatCode="d&quot;日&quot;"/>
    <numFmt numFmtId="179" formatCode="0.0_ 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GungsuhChe"/>
      <family val="3"/>
      <charset val="129"/>
    </font>
    <font>
      <sz val="9"/>
      <color theme="1"/>
      <name val="DotumChe"/>
      <family val="3"/>
      <charset val="129"/>
    </font>
    <font>
      <sz val="10"/>
      <color theme="1"/>
      <name val="Dotum"/>
      <family val="2"/>
      <charset val="129"/>
    </font>
    <font>
      <sz val="10"/>
      <color theme="1"/>
      <name val="宋体"/>
      <family val="3"/>
      <charset val="134"/>
    </font>
    <font>
      <b/>
      <i/>
      <sz val="11"/>
      <color theme="0"/>
      <name val="华文细黑"/>
      <family val="3"/>
      <charset val="134"/>
    </font>
    <font>
      <b/>
      <u val="singleAccounting"/>
      <sz val="20"/>
      <name val="汉仪楷体简"/>
      <family val="3"/>
      <charset val="134"/>
    </font>
    <font>
      <sz val="10"/>
      <color theme="1"/>
      <name val="MingLiU"/>
      <family val="3"/>
      <charset val="136"/>
    </font>
    <font>
      <sz val="10"/>
      <name val="GungsuhChe"/>
      <family val="3"/>
      <charset val="129"/>
    </font>
    <font>
      <sz val="10"/>
      <color theme="3" tint="-0.249977111117893"/>
      <name val="汉仪中黑简"/>
      <family val="3"/>
      <charset val="134"/>
    </font>
    <font>
      <sz val="9"/>
      <name val="宋体"/>
      <family val="3"/>
      <charset val="134"/>
    </font>
    <font>
      <sz val="9"/>
      <color indexed="8"/>
      <name val="Times New Roman"/>
      <family val="1"/>
    </font>
    <font>
      <sz val="8.5"/>
      <color indexed="8"/>
      <name val="方正准圆简体"/>
      <family val="3"/>
      <charset val="134"/>
    </font>
    <font>
      <sz val="11"/>
      <name val="汉仪中黑简"/>
      <family val="3"/>
      <charset val="134"/>
    </font>
    <font>
      <b/>
      <sz val="9"/>
      <name val="宋体"/>
      <family val="3"/>
      <charset val="134"/>
    </font>
    <font>
      <sz val="9"/>
      <color theme="1"/>
      <name val="方正细圆简体"/>
      <family val="3"/>
      <charset val="134"/>
    </font>
    <font>
      <sz val="9"/>
      <color rgb="FFFF0000"/>
      <name val="方正细圆简体"/>
      <family val="3"/>
      <charset val="134"/>
    </font>
    <font>
      <b/>
      <sz val="10"/>
      <color theme="1"/>
      <name val="Arial Unicode MS"/>
      <family val="2"/>
      <charset val="134"/>
    </font>
    <font>
      <b/>
      <sz val="11"/>
      <color theme="1"/>
      <name val="方正细珊瑚简体"/>
      <family val="4"/>
      <charset val="134"/>
    </font>
    <font>
      <sz val="9"/>
      <color rgb="FFFF0000"/>
      <name val="汉仪细中圆简"/>
      <family val="3"/>
      <charset val="134"/>
    </font>
    <font>
      <b/>
      <u val="singleAccounting"/>
      <sz val="22"/>
      <name val="汉仪楷体简"/>
      <family val="3"/>
      <charset val="134"/>
    </font>
    <font>
      <b/>
      <sz val="10"/>
      <name val="汉仪细中圆简"/>
      <family val="3"/>
      <charset val="134"/>
    </font>
    <font>
      <sz val="12"/>
      <color theme="0"/>
      <name val="汉仪中黑简"/>
      <family val="3"/>
      <charset val="134"/>
    </font>
    <font>
      <sz val="10"/>
      <color rgb="FFFF0000"/>
      <name val="方正准圆简体"/>
      <family val="3"/>
      <charset val="134"/>
    </font>
    <font>
      <b/>
      <sz val="10"/>
      <color rgb="FF0070C0"/>
      <name val="方正准圆简体"/>
      <family val="3"/>
      <charset val="134"/>
    </font>
    <font>
      <b/>
      <u val="singleAccounting"/>
      <sz val="18"/>
      <name val="汉仪楷体简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Dotum"/>
      <family val="2"/>
      <charset val="129"/>
    </font>
    <font>
      <b/>
      <i/>
      <sz val="20"/>
      <color theme="1"/>
      <name val="宋体"/>
      <family val="3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sz val="11"/>
      <color theme="3" tint="-0.249977111117893"/>
      <name val="方正粗圆简体"/>
      <family val="3"/>
      <charset val="134"/>
    </font>
    <font>
      <sz val="10.5"/>
      <color theme="3" tint="-0.249977111117893"/>
      <name val="汉仪中黑简"/>
      <family val="3"/>
      <charset val="134"/>
    </font>
    <font>
      <b/>
      <i/>
      <sz val="10"/>
      <color theme="0"/>
      <name val="华文细黑"/>
      <family val="3"/>
      <charset val="134"/>
    </font>
    <font>
      <sz val="12"/>
      <color theme="3" tint="-0.249977111117893"/>
      <name val="汉仪楷体简"/>
      <family val="3"/>
      <charset val="134"/>
    </font>
    <font>
      <b/>
      <i/>
      <sz val="10"/>
      <name val="华文细黑"/>
      <family val="3"/>
      <charset val="134"/>
    </font>
    <font>
      <sz val="11"/>
      <color theme="3" tint="-0.249977111117893"/>
      <name val="Forte"/>
      <family val="4"/>
    </font>
    <font>
      <sz val="14"/>
      <color theme="3" tint="-0.249977111117893"/>
      <name val="方正行楷简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00B0F0"/>
      </left>
      <right style="double">
        <color rgb="FF00B0F0"/>
      </right>
      <top style="thin">
        <color rgb="FF00B0F0"/>
      </top>
      <bottom style="double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double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00B0F0"/>
      </left>
      <right style="thin">
        <color rgb="FF00B0F0"/>
      </right>
      <top style="thin">
        <color rgb="FF00B0F0"/>
      </top>
      <bottom style="double">
        <color rgb="FF00B0F0"/>
      </bottom>
      <diagonal/>
    </border>
    <border>
      <left style="thin">
        <color rgb="FF00B0F0"/>
      </left>
      <right style="double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double">
        <color rgb="FF00B0F0"/>
      </right>
      <top style="double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double">
        <color rgb="FF00B0F0"/>
      </top>
      <bottom style="thin">
        <color rgb="FF00B0F0"/>
      </bottom>
      <diagonal/>
    </border>
    <border>
      <left style="double">
        <color rgb="FF00B0F0"/>
      </left>
      <right style="thin">
        <color rgb="FF00B0F0"/>
      </right>
      <top style="double">
        <color rgb="FF00B0F0"/>
      </top>
      <bottom style="thin">
        <color rgb="FF00B0F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/>
      <right/>
      <top style="thin">
        <color rgb="FF00B0F0"/>
      </top>
      <bottom style="double">
        <color rgb="FF00B0F0"/>
      </bottom>
      <diagonal/>
    </border>
    <border>
      <left/>
      <right style="double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double">
        <color rgb="FF00B0F0"/>
      </bottom>
      <diagonal/>
    </border>
    <border>
      <left style="thin">
        <color rgb="FF00B0F0"/>
      </left>
      <right style="thin">
        <color rgb="FF00B0F0"/>
      </right>
      <top style="double">
        <color rgb="FF00B0F0"/>
      </top>
      <bottom/>
      <diagonal/>
    </border>
    <border>
      <left/>
      <right/>
      <top/>
      <bottom style="double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hair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hair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double">
        <color rgb="FF00B0F0"/>
      </top>
      <bottom style="thin">
        <color rgb="FF00B0F0"/>
      </bottom>
      <diagonal/>
    </border>
    <border>
      <left/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/>
      <right/>
      <top style="double">
        <color rgb="FF00B0F0"/>
      </top>
      <bottom style="double">
        <color rgb="FF00B0F0"/>
      </bottom>
      <diagonal/>
    </border>
    <border>
      <left style="hair">
        <color theme="9" tint="-0.24994659260841701"/>
      </left>
      <right/>
      <top style="double">
        <color rgb="FF00B0F0"/>
      </top>
      <bottom style="double">
        <color rgb="FF00B0F0"/>
      </bottom>
      <diagonal/>
    </border>
    <border>
      <left/>
      <right style="hair">
        <color theme="9" tint="-0.24994659260841701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/>
      <top style="double">
        <color rgb="FF00B0F0"/>
      </top>
      <bottom style="double">
        <color rgb="FF00B0F0"/>
      </bottom>
      <diagonal/>
    </border>
    <border>
      <left style="thin">
        <color theme="9" tint="-0.24994659260841701"/>
      </left>
      <right style="thin">
        <color theme="9" tint="-0.24994659260841701"/>
      </right>
      <top style="double">
        <color theme="9" tint="-0.24994659260841701"/>
      </top>
      <bottom style="thin">
        <color theme="9" tint="-0.24994659260841701"/>
      </bottom>
      <diagonal/>
    </border>
    <border>
      <left style="double">
        <color rgb="FF00B0F0"/>
      </left>
      <right/>
      <top/>
      <bottom/>
      <diagonal/>
    </border>
    <border>
      <left style="double">
        <color rgb="FF00B0F0"/>
      </left>
      <right style="double">
        <color rgb="FF00B0F0"/>
      </right>
      <top/>
      <bottom style="double">
        <color rgb="FF00B0F0"/>
      </bottom>
      <diagonal/>
    </border>
    <border>
      <left style="thin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thin">
        <color rgb="FF00B0F0"/>
      </left>
      <right style="thin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thin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thin">
        <color rgb="FF00B0F0"/>
      </right>
      <top style="thin">
        <color rgb="FF00B0F0"/>
      </top>
      <bottom style="double">
        <color theme="3" tint="0.39994506668294322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 wrapText="1"/>
    </xf>
    <xf numFmtId="14" fontId="6" fillId="3" borderId="8" xfId="0" applyNumberFormat="1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9" fontId="0" fillId="0" borderId="10" xfId="0" applyNumberFormat="1" applyBorder="1">
      <alignment vertical="center"/>
    </xf>
    <xf numFmtId="14" fontId="6" fillId="3" borderId="10" xfId="0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76" fontId="9" fillId="2" borderId="1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3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11" fillId="0" borderId="19" xfId="0" applyFont="1" applyBorder="1" applyAlignment="1" applyProtection="1">
      <alignment horizontal="center" vertical="center"/>
      <protection hidden="1"/>
    </xf>
    <xf numFmtId="0" fontId="11" fillId="0" borderId="20" xfId="0" applyFont="1" applyBorder="1" applyAlignment="1" applyProtection="1">
      <alignment horizontal="center" vertical="center"/>
      <protection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4" fillId="0" borderId="20" xfId="0" applyFont="1" applyBorder="1">
      <alignment vertical="center"/>
    </xf>
    <xf numFmtId="177" fontId="13" fillId="0" borderId="21" xfId="0" applyNumberFormat="1" applyFont="1" applyBorder="1" applyAlignment="1" applyProtection="1">
      <alignment horizontal="center" vertical="center" wrapText="1"/>
      <protection hidden="1"/>
    </xf>
    <xf numFmtId="0" fontId="15" fillId="0" borderId="20" xfId="0" applyFont="1" applyBorder="1" applyAlignment="1" applyProtection="1">
      <alignment horizontal="center" vertical="center" wrapText="1"/>
      <protection hidden="1"/>
    </xf>
    <xf numFmtId="178" fontId="15" fillId="0" borderId="20" xfId="0" applyNumberFormat="1" applyFont="1" applyBorder="1" applyAlignment="1" applyProtection="1">
      <alignment horizontal="center" vertical="center" wrapText="1"/>
      <protection hidden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14" fontId="18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20" fillId="0" borderId="0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25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4" fillId="2" borderId="0" xfId="0" applyFont="1" applyFill="1">
      <alignment vertical="center"/>
    </xf>
    <xf numFmtId="0" fontId="25" fillId="2" borderId="31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27" fillId="0" borderId="0" xfId="0" applyFont="1" applyAlignment="1">
      <alignment vertical="top"/>
    </xf>
    <xf numFmtId="0" fontId="0" fillId="0" borderId="10" xfId="0" applyNumberFormat="1" applyBorder="1">
      <alignment vertical="center"/>
    </xf>
    <xf numFmtId="0" fontId="6" fillId="3" borderId="10" xfId="0" applyNumberFormat="1" applyFont="1" applyFill="1" applyBorder="1" applyAlignment="1">
      <alignment horizontal="center" vertical="center" wrapText="1"/>
    </xf>
    <xf numFmtId="9" fontId="0" fillId="0" borderId="32" xfId="0" applyNumberFormat="1" applyFill="1" applyBorder="1">
      <alignment vertical="center"/>
    </xf>
    <xf numFmtId="9" fontId="0" fillId="0" borderId="10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14" fontId="6" fillId="3" borderId="33" xfId="0" applyNumberFormat="1" applyFon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6" fillId="3" borderId="33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14" fontId="6" fillId="3" borderId="34" xfId="0" applyNumberFormat="1" applyFont="1" applyFill="1" applyBorder="1" applyAlignment="1">
      <alignment horizontal="center" vertical="center" wrapText="1"/>
    </xf>
    <xf numFmtId="14" fontId="6" fillId="3" borderId="35" xfId="0" applyNumberFormat="1" applyFont="1" applyFill="1" applyBorder="1" applyAlignment="1">
      <alignment horizontal="center" vertical="center" wrapText="1"/>
    </xf>
    <xf numFmtId="14" fontId="6" fillId="3" borderId="36" xfId="0" applyNumberFormat="1" applyFont="1" applyFill="1" applyBorder="1" applyAlignment="1">
      <alignment horizontal="center" vertical="center" wrapText="1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179" fontId="33" fillId="0" borderId="37" xfId="0" applyNumberFormat="1" applyFont="1" applyBorder="1" applyAlignment="1">
      <alignment horizontal="center" vertical="center"/>
    </xf>
    <xf numFmtId="14" fontId="34" fillId="3" borderId="8" xfId="0" applyNumberFormat="1" applyFont="1" applyFill="1" applyBorder="1" applyAlignment="1">
      <alignment horizontal="center" vertical="center" wrapText="1"/>
    </xf>
    <xf numFmtId="14" fontId="34" fillId="3" borderId="9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6" fillId="2" borderId="9" xfId="0" applyNumberFormat="1" applyFont="1" applyFill="1" applyBorder="1" applyAlignment="1">
      <alignment horizontal="center" vertical="center" wrapText="1"/>
    </xf>
    <xf numFmtId="14" fontId="36" fillId="2" borderId="9" xfId="0" applyNumberFormat="1" applyFont="1" applyFill="1" applyBorder="1" applyAlignment="1">
      <alignment horizontal="center" vertical="center" wrapText="1"/>
    </xf>
    <xf numFmtId="14" fontId="36" fillId="2" borderId="0" xfId="0" applyNumberFormat="1" applyFont="1" applyFill="1" applyBorder="1" applyAlignment="1">
      <alignment horizontal="center" vertical="center" wrapText="1"/>
    </xf>
    <xf numFmtId="14" fontId="34" fillId="3" borderId="34" xfId="0" applyNumberFormat="1" applyFont="1" applyFill="1" applyBorder="1" applyAlignment="1">
      <alignment horizontal="center" vertical="center" wrapText="1"/>
    </xf>
    <xf numFmtId="14" fontId="34" fillId="3" borderId="35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14" fontId="6" fillId="3" borderId="10" xfId="0" applyNumberFormat="1" applyFont="1" applyFill="1" applyBorder="1" applyAlignment="1">
      <alignment horizontal="center" vertical="center" wrapText="1"/>
    </xf>
    <xf numFmtId="14" fontId="6" fillId="3" borderId="14" xfId="0" applyNumberFormat="1" applyFont="1" applyFill="1" applyBorder="1" applyAlignment="1">
      <alignment horizontal="center" vertical="center" wrapText="1"/>
    </xf>
    <xf numFmtId="14" fontId="6" fillId="3" borderId="13" xfId="0" applyNumberFormat="1" applyFont="1" applyFill="1" applyBorder="1" applyAlignment="1">
      <alignment horizontal="center" vertical="center" wrapText="1"/>
    </xf>
    <xf numFmtId="14" fontId="6" fillId="3" borderId="8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14" fontId="6" fillId="3" borderId="9" xfId="0" applyNumberFormat="1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indent="13"/>
    </xf>
    <xf numFmtId="0" fontId="14" fillId="2" borderId="23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 vertical="center" wrapText="1"/>
    </xf>
    <xf numFmtId="0" fontId="23" fillId="6" borderId="30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23" fillId="6" borderId="28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20</xdr:row>
      <xdr:rowOff>9525</xdr:rowOff>
    </xdr:from>
    <xdr:to>
      <xdr:col>1</xdr:col>
      <xdr:colOff>771525</xdr:colOff>
      <xdr:row>21</xdr:row>
      <xdr:rowOff>133350</xdr:rowOff>
    </xdr:to>
    <xdr:sp macro="" textlink="">
      <xdr:nvSpPr>
        <xdr:cNvPr id="2" name="AutoShape 1" descr="http://stat.tianya.cn/clickAnalyse.jsp?fromURL=http%3A//wenda.tianya.cn/wenda/thread%3Ftid%3D5a9e0b4484795cdc&amp;clickURL=http%3A//wenda.tianya.cn/wenda/thread%3Ftid%3D30dfdfae288c4bef%26from%3DbottomThread&amp;cityId=2&amp;pv=1&amp;guid=1026222251&amp;r=0.992080128945477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152525" y="3438525"/>
          <a:ext cx="219075" cy="2952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F3" sqref="F3"/>
    </sheetView>
  </sheetViews>
  <sheetFormatPr defaultRowHeight="14.4"/>
  <cols>
    <col min="1" max="1" width="6.6640625" customWidth="1"/>
    <col min="2" max="2" width="8" customWidth="1"/>
    <col min="3" max="3" width="10.109375" customWidth="1"/>
    <col min="4" max="4" width="6.21875" customWidth="1"/>
    <col min="5" max="5" width="11.44140625" customWidth="1"/>
    <col min="6" max="6" width="8.77734375" customWidth="1"/>
    <col min="7" max="9" width="9.6640625" customWidth="1"/>
  </cols>
  <sheetData>
    <row r="1" spans="1:9" ht="31.5" customHeight="1" thickBot="1">
      <c r="A1" s="93" t="s">
        <v>64</v>
      </c>
      <c r="B1" s="93"/>
      <c r="C1" s="93"/>
      <c r="D1" s="93"/>
      <c r="E1" s="93"/>
      <c r="F1" s="93"/>
      <c r="G1" s="93"/>
      <c r="H1" s="93"/>
    </row>
    <row r="2" spans="1:9" ht="20.25" customHeight="1" thickTop="1">
      <c r="A2" s="16" t="s">
        <v>63</v>
      </c>
      <c r="B2" s="15" t="s">
        <v>62</v>
      </c>
      <c r="C2" s="15" t="s">
        <v>61</v>
      </c>
      <c r="D2" s="15" t="s">
        <v>60</v>
      </c>
      <c r="E2" s="15" t="s">
        <v>59</v>
      </c>
      <c r="F2" s="15" t="s">
        <v>58</v>
      </c>
      <c r="G2" s="15" t="s">
        <v>57</v>
      </c>
      <c r="H2" s="15" t="s">
        <v>56</v>
      </c>
      <c r="I2" s="14" t="s">
        <v>55</v>
      </c>
    </row>
    <row r="3" spans="1:9">
      <c r="A3" s="12" t="s">
        <v>54</v>
      </c>
      <c r="B3" s="13" t="s">
        <v>53</v>
      </c>
      <c r="C3" s="10" t="s">
        <v>33</v>
      </c>
      <c r="D3" s="10" t="s">
        <v>52</v>
      </c>
      <c r="E3" s="9">
        <v>35162</v>
      </c>
      <c r="F3" s="3">
        <f t="shared" ref="F3:F25" ca="1" si="0">YEAR(TODAY())-YEAR(E3)</f>
        <v>22</v>
      </c>
      <c r="G3" s="8">
        <v>1500</v>
      </c>
      <c r="H3" s="8">
        <v>1400</v>
      </c>
      <c r="I3" s="7">
        <f t="shared" ref="I3:I25" ca="1" si="1">IF(F3&lt;=2,0,(F3-2)*80)</f>
        <v>1600</v>
      </c>
    </row>
    <row r="4" spans="1:9">
      <c r="A4" s="12" t="s">
        <v>51</v>
      </c>
      <c r="B4" s="13" t="s">
        <v>50</v>
      </c>
      <c r="C4" s="10" t="s">
        <v>4</v>
      </c>
      <c r="D4" s="10" t="s">
        <v>0</v>
      </c>
      <c r="E4" s="9">
        <v>38360</v>
      </c>
      <c r="F4" s="3">
        <f t="shared" ca="1" si="0"/>
        <v>13</v>
      </c>
      <c r="G4" s="8">
        <v>800</v>
      </c>
      <c r="H4" s="8">
        <v>100</v>
      </c>
      <c r="I4" s="7">
        <f t="shared" ca="1" si="1"/>
        <v>880</v>
      </c>
    </row>
    <row r="5" spans="1:9">
      <c r="A5" s="12" t="s">
        <v>49</v>
      </c>
      <c r="B5" s="13" t="s">
        <v>48</v>
      </c>
      <c r="C5" s="10" t="s">
        <v>1</v>
      </c>
      <c r="D5" s="10" t="s">
        <v>0</v>
      </c>
      <c r="E5" s="9">
        <v>38026</v>
      </c>
      <c r="F5" s="3">
        <f t="shared" ca="1" si="0"/>
        <v>14</v>
      </c>
      <c r="G5" s="8">
        <v>1500</v>
      </c>
      <c r="H5" s="8">
        <v>200</v>
      </c>
      <c r="I5" s="7">
        <f t="shared" ca="1" si="1"/>
        <v>960</v>
      </c>
    </row>
    <row r="6" spans="1:9">
      <c r="A6" s="12" t="s">
        <v>47</v>
      </c>
      <c r="B6" s="11" t="s">
        <v>46</v>
      </c>
      <c r="C6" s="10" t="s">
        <v>1</v>
      </c>
      <c r="D6" s="10" t="s">
        <v>26</v>
      </c>
      <c r="E6" s="9">
        <v>35348</v>
      </c>
      <c r="F6" s="3">
        <f t="shared" ca="1" si="0"/>
        <v>22</v>
      </c>
      <c r="G6" s="8">
        <v>1500</v>
      </c>
      <c r="H6" s="8">
        <v>1400</v>
      </c>
      <c r="I6" s="7">
        <f t="shared" ca="1" si="1"/>
        <v>1600</v>
      </c>
    </row>
    <row r="7" spans="1:9">
      <c r="A7" s="12" t="s">
        <v>45</v>
      </c>
      <c r="B7" s="13" t="s">
        <v>44</v>
      </c>
      <c r="C7" s="10" t="s">
        <v>33</v>
      </c>
      <c r="D7" s="10" t="s">
        <v>0</v>
      </c>
      <c r="E7" s="9">
        <v>38332</v>
      </c>
      <c r="F7" s="3">
        <f t="shared" ca="1" si="0"/>
        <v>14</v>
      </c>
      <c r="G7" s="8">
        <v>1500</v>
      </c>
      <c r="H7" s="8">
        <v>200</v>
      </c>
      <c r="I7" s="7">
        <f t="shared" ca="1" si="1"/>
        <v>960</v>
      </c>
    </row>
    <row r="8" spans="1:9">
      <c r="A8" s="12" t="s">
        <v>43</v>
      </c>
      <c r="B8" s="11" t="s">
        <v>42</v>
      </c>
      <c r="C8" s="10" t="s">
        <v>4</v>
      </c>
      <c r="D8" s="10" t="s">
        <v>0</v>
      </c>
      <c r="E8" s="9">
        <v>38749</v>
      </c>
      <c r="F8" s="3">
        <f t="shared" ca="1" si="0"/>
        <v>12</v>
      </c>
      <c r="G8" s="8">
        <v>800</v>
      </c>
      <c r="H8" s="8">
        <v>100</v>
      </c>
      <c r="I8" s="7">
        <f t="shared" ca="1" si="1"/>
        <v>800</v>
      </c>
    </row>
    <row r="9" spans="1:9">
      <c r="A9" s="12" t="s">
        <v>41</v>
      </c>
      <c r="B9" s="13" t="s">
        <v>40</v>
      </c>
      <c r="C9" s="10" t="s">
        <v>7</v>
      </c>
      <c r="D9" s="10" t="s">
        <v>26</v>
      </c>
      <c r="E9" s="9">
        <v>37359</v>
      </c>
      <c r="F9" s="3">
        <f t="shared" ca="1" si="0"/>
        <v>16</v>
      </c>
      <c r="G9" s="8">
        <v>2200</v>
      </c>
      <c r="H9" s="8">
        <v>2000</v>
      </c>
      <c r="I9" s="7">
        <f t="shared" ca="1" si="1"/>
        <v>1120</v>
      </c>
    </row>
    <row r="10" spans="1:9">
      <c r="A10" s="12" t="s">
        <v>39</v>
      </c>
      <c r="B10" s="11" t="s">
        <v>38</v>
      </c>
      <c r="C10" s="10" t="s">
        <v>15</v>
      </c>
      <c r="D10" s="10" t="s">
        <v>26</v>
      </c>
      <c r="E10" s="9">
        <v>34803</v>
      </c>
      <c r="F10" s="3">
        <f t="shared" ca="1" si="0"/>
        <v>23</v>
      </c>
      <c r="G10" s="8">
        <v>2000</v>
      </c>
      <c r="H10" s="8">
        <v>1400</v>
      </c>
      <c r="I10" s="7">
        <f t="shared" ca="1" si="1"/>
        <v>1680</v>
      </c>
    </row>
    <row r="11" spans="1:9">
      <c r="A11" s="12" t="s">
        <v>37</v>
      </c>
      <c r="B11" s="11" t="s">
        <v>36</v>
      </c>
      <c r="C11" s="10" t="s">
        <v>4</v>
      </c>
      <c r="D11" s="10" t="s">
        <v>26</v>
      </c>
      <c r="E11" s="9">
        <v>38473</v>
      </c>
      <c r="F11" s="3">
        <f t="shared" ca="1" si="0"/>
        <v>13</v>
      </c>
      <c r="G11" s="8">
        <v>800</v>
      </c>
      <c r="H11" s="8">
        <v>1400</v>
      </c>
      <c r="I11" s="7">
        <f t="shared" ca="1" si="1"/>
        <v>880</v>
      </c>
    </row>
    <row r="12" spans="1:9">
      <c r="A12" s="12" t="s">
        <v>35</v>
      </c>
      <c r="B12" s="13" t="s">
        <v>34</v>
      </c>
      <c r="C12" s="10" t="s">
        <v>33</v>
      </c>
      <c r="D12" s="10" t="s">
        <v>0</v>
      </c>
      <c r="E12" s="9">
        <v>35855</v>
      </c>
      <c r="F12" s="3">
        <f t="shared" ca="1" si="0"/>
        <v>20</v>
      </c>
      <c r="G12" s="8">
        <v>1500</v>
      </c>
      <c r="H12" s="8">
        <v>200</v>
      </c>
      <c r="I12" s="7">
        <f t="shared" ca="1" si="1"/>
        <v>1440</v>
      </c>
    </row>
    <row r="13" spans="1:9">
      <c r="A13" s="12" t="s">
        <v>32</v>
      </c>
      <c r="B13" s="13" t="s">
        <v>31</v>
      </c>
      <c r="C13" s="10" t="s">
        <v>4</v>
      </c>
      <c r="D13" s="10" t="s">
        <v>0</v>
      </c>
      <c r="E13" s="9">
        <v>38749</v>
      </c>
      <c r="F13" s="3">
        <f t="shared" ca="1" si="0"/>
        <v>12</v>
      </c>
      <c r="G13" s="8">
        <v>800</v>
      </c>
      <c r="H13" s="8">
        <v>100</v>
      </c>
      <c r="I13" s="7">
        <f t="shared" ca="1" si="1"/>
        <v>800</v>
      </c>
    </row>
    <row r="14" spans="1:9">
      <c r="A14" s="12" t="s">
        <v>30</v>
      </c>
      <c r="B14" s="13" t="s">
        <v>29</v>
      </c>
      <c r="C14" s="10" t="s">
        <v>15</v>
      </c>
      <c r="D14" s="10" t="s">
        <v>0</v>
      </c>
      <c r="E14" s="9">
        <v>36557</v>
      </c>
      <c r="F14" s="3">
        <f t="shared" ca="1" si="0"/>
        <v>18</v>
      </c>
      <c r="G14" s="8">
        <v>2000</v>
      </c>
      <c r="H14" s="8">
        <v>280</v>
      </c>
      <c r="I14" s="7">
        <f t="shared" ca="1" si="1"/>
        <v>1280</v>
      </c>
    </row>
    <row r="15" spans="1:9">
      <c r="A15" s="12" t="s">
        <v>28</v>
      </c>
      <c r="B15" s="13" t="s">
        <v>27</v>
      </c>
      <c r="C15" s="10" t="s">
        <v>12</v>
      </c>
      <c r="D15" s="10" t="s">
        <v>26</v>
      </c>
      <c r="E15" s="9">
        <v>35855</v>
      </c>
      <c r="F15" s="3">
        <f t="shared" ca="1" si="0"/>
        <v>20</v>
      </c>
      <c r="G15" s="8">
        <v>1500</v>
      </c>
      <c r="H15" s="8">
        <v>1400</v>
      </c>
      <c r="I15" s="7">
        <f t="shared" ca="1" si="1"/>
        <v>1440</v>
      </c>
    </row>
    <row r="16" spans="1:9">
      <c r="A16" s="12" t="s">
        <v>25</v>
      </c>
      <c r="B16" s="13" t="s">
        <v>24</v>
      </c>
      <c r="C16" s="10" t="s">
        <v>12</v>
      </c>
      <c r="D16" s="10" t="s">
        <v>0</v>
      </c>
      <c r="E16" s="9">
        <v>37469</v>
      </c>
      <c r="F16" s="3">
        <f t="shared" ca="1" si="0"/>
        <v>16</v>
      </c>
      <c r="G16" s="8">
        <v>1500</v>
      </c>
      <c r="H16" s="8">
        <v>200</v>
      </c>
      <c r="I16" s="7">
        <f t="shared" ca="1" si="1"/>
        <v>1120</v>
      </c>
    </row>
    <row r="17" spans="1:9">
      <c r="A17" s="12" t="s">
        <v>23</v>
      </c>
      <c r="B17" s="11" t="s">
        <v>22</v>
      </c>
      <c r="C17" s="10" t="s">
        <v>7</v>
      </c>
      <c r="D17" s="10" t="s">
        <v>0</v>
      </c>
      <c r="E17" s="9">
        <v>37530</v>
      </c>
      <c r="F17" s="3">
        <f t="shared" ca="1" si="0"/>
        <v>16</v>
      </c>
      <c r="G17" s="8">
        <v>2200</v>
      </c>
      <c r="H17" s="8">
        <v>280</v>
      </c>
      <c r="I17" s="7">
        <f t="shared" ca="1" si="1"/>
        <v>1120</v>
      </c>
    </row>
    <row r="18" spans="1:9">
      <c r="A18" s="12" t="s">
        <v>21</v>
      </c>
      <c r="B18" s="13" t="s">
        <v>20</v>
      </c>
      <c r="C18" s="10" t="s">
        <v>4</v>
      </c>
      <c r="D18" s="10" t="s">
        <v>0</v>
      </c>
      <c r="E18" s="9">
        <v>38139</v>
      </c>
      <c r="F18" s="3">
        <f t="shared" ca="1" si="0"/>
        <v>14</v>
      </c>
      <c r="G18" s="8">
        <v>800</v>
      </c>
      <c r="H18" s="8">
        <v>100</v>
      </c>
      <c r="I18" s="7">
        <f t="shared" ca="1" si="1"/>
        <v>960</v>
      </c>
    </row>
    <row r="19" spans="1:9">
      <c r="A19" s="12" t="s">
        <v>19</v>
      </c>
      <c r="B19" s="11" t="s">
        <v>18</v>
      </c>
      <c r="C19" s="10" t="s">
        <v>15</v>
      </c>
      <c r="D19" s="10" t="s">
        <v>0</v>
      </c>
      <c r="E19" s="9">
        <v>38139</v>
      </c>
      <c r="F19" s="3">
        <f t="shared" ca="1" si="0"/>
        <v>14</v>
      </c>
      <c r="G19" s="8">
        <v>2000</v>
      </c>
      <c r="H19" s="8">
        <v>280</v>
      </c>
      <c r="I19" s="7">
        <f t="shared" ca="1" si="1"/>
        <v>960</v>
      </c>
    </row>
    <row r="20" spans="1:9">
      <c r="A20" s="12" t="s">
        <v>17</v>
      </c>
      <c r="B20" s="13" t="s">
        <v>16</v>
      </c>
      <c r="C20" s="10" t="s">
        <v>15</v>
      </c>
      <c r="D20" s="10" t="s">
        <v>0</v>
      </c>
      <c r="E20" s="9">
        <v>35156</v>
      </c>
      <c r="F20" s="3">
        <f t="shared" ca="1" si="0"/>
        <v>22</v>
      </c>
      <c r="G20" s="8">
        <v>2000</v>
      </c>
      <c r="H20" s="8">
        <v>280</v>
      </c>
      <c r="I20" s="7">
        <f t="shared" ca="1" si="1"/>
        <v>1600</v>
      </c>
    </row>
    <row r="21" spans="1:9">
      <c r="A21" s="12" t="s">
        <v>14</v>
      </c>
      <c r="B21" s="13" t="s">
        <v>13</v>
      </c>
      <c r="C21" s="10" t="s">
        <v>12</v>
      </c>
      <c r="D21" s="10" t="s">
        <v>0</v>
      </c>
      <c r="E21" s="9">
        <v>35491</v>
      </c>
      <c r="F21" s="3">
        <f t="shared" ca="1" si="0"/>
        <v>21</v>
      </c>
      <c r="G21" s="8">
        <v>1500</v>
      </c>
      <c r="H21" s="8">
        <v>200</v>
      </c>
      <c r="I21" s="7">
        <f t="shared" ca="1" si="1"/>
        <v>1520</v>
      </c>
    </row>
    <row r="22" spans="1:9">
      <c r="A22" s="12" t="s">
        <v>11</v>
      </c>
      <c r="B22" s="11" t="s">
        <v>10</v>
      </c>
      <c r="C22" s="10" t="s">
        <v>1</v>
      </c>
      <c r="D22" s="10" t="s">
        <v>0</v>
      </c>
      <c r="E22" s="9">
        <v>38386</v>
      </c>
      <c r="F22" s="3">
        <f t="shared" ca="1" si="0"/>
        <v>13</v>
      </c>
      <c r="G22" s="8">
        <v>1500</v>
      </c>
      <c r="H22" s="8">
        <v>200</v>
      </c>
      <c r="I22" s="7">
        <f t="shared" ca="1" si="1"/>
        <v>880</v>
      </c>
    </row>
    <row r="23" spans="1:9">
      <c r="A23" s="12" t="s">
        <v>9</v>
      </c>
      <c r="B23" s="11" t="s">
        <v>8</v>
      </c>
      <c r="C23" s="10" t="s">
        <v>7</v>
      </c>
      <c r="D23" s="10" t="s">
        <v>0</v>
      </c>
      <c r="E23" s="9">
        <v>37260</v>
      </c>
      <c r="F23" s="3">
        <f t="shared" ca="1" si="0"/>
        <v>16</v>
      </c>
      <c r="G23" s="8">
        <v>2200</v>
      </c>
      <c r="H23" s="8">
        <v>280</v>
      </c>
      <c r="I23" s="7">
        <f t="shared" ca="1" si="1"/>
        <v>1120</v>
      </c>
    </row>
    <row r="24" spans="1:9">
      <c r="A24" s="12" t="s">
        <v>6</v>
      </c>
      <c r="B24" s="11" t="s">
        <v>5</v>
      </c>
      <c r="C24" s="10" t="s">
        <v>4</v>
      </c>
      <c r="D24" s="10" t="s">
        <v>0</v>
      </c>
      <c r="E24" s="9">
        <v>38995</v>
      </c>
      <c r="F24" s="3">
        <f t="shared" ca="1" si="0"/>
        <v>12</v>
      </c>
      <c r="G24" s="8">
        <v>800</v>
      </c>
      <c r="H24" s="8">
        <v>100</v>
      </c>
      <c r="I24" s="7">
        <f t="shared" ca="1" si="1"/>
        <v>800</v>
      </c>
    </row>
    <row r="25" spans="1:9" ht="15" thickBot="1">
      <c r="A25" s="6" t="s">
        <v>3</v>
      </c>
      <c r="B25" s="5" t="s">
        <v>2</v>
      </c>
      <c r="C25" s="4" t="s">
        <v>1</v>
      </c>
      <c r="D25" s="4" t="s">
        <v>0</v>
      </c>
      <c r="E25" s="4">
        <v>40091</v>
      </c>
      <c r="F25" s="3">
        <f t="shared" ca="1" si="0"/>
        <v>9</v>
      </c>
      <c r="G25" s="2">
        <v>1500</v>
      </c>
      <c r="H25" s="2">
        <v>200</v>
      </c>
      <c r="I25" s="1">
        <f t="shared" ca="1" si="1"/>
        <v>560</v>
      </c>
    </row>
    <row r="26" spans="1:9" ht="15" thickTop="1"/>
  </sheetData>
  <autoFilter ref="A2:I25" xr:uid="{00000000-0009-0000-0000-000000000000}"/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A28" workbookViewId="0">
      <selection activeCell="C4" sqref="C4"/>
    </sheetView>
  </sheetViews>
  <sheetFormatPr defaultRowHeight="14.4"/>
  <cols>
    <col min="1" max="1" width="7.33203125" customWidth="1"/>
    <col min="2" max="2" width="6.6640625" customWidth="1"/>
    <col min="3" max="3" width="9.88671875" customWidth="1"/>
    <col min="5" max="5" width="11.21875" customWidth="1"/>
    <col min="6" max="6" width="8.21875" customWidth="1"/>
    <col min="7" max="7" width="11.6640625" customWidth="1"/>
    <col min="8" max="8" width="9.77734375" customWidth="1"/>
    <col min="10" max="10" width="9.88671875" customWidth="1"/>
  </cols>
  <sheetData>
    <row r="1" spans="1:10" ht="30" thickBot="1">
      <c r="A1" s="99" t="s">
        <v>82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7.25" customHeight="1" thickTop="1">
      <c r="A2" s="100" t="s">
        <v>63</v>
      </c>
      <c r="B2" s="97" t="s">
        <v>62</v>
      </c>
      <c r="C2" s="97" t="s">
        <v>61</v>
      </c>
      <c r="D2" s="97" t="s">
        <v>81</v>
      </c>
      <c r="E2" s="97"/>
      <c r="F2" s="97"/>
      <c r="G2" s="95" t="s">
        <v>80</v>
      </c>
      <c r="H2" s="97" t="s">
        <v>79</v>
      </c>
      <c r="I2" s="102" t="s">
        <v>78</v>
      </c>
      <c r="J2" s="97" t="s">
        <v>77</v>
      </c>
    </row>
    <row r="3" spans="1:10" ht="18" customHeight="1" thickBot="1">
      <c r="A3" s="101"/>
      <c r="B3" s="98"/>
      <c r="C3" s="98"/>
      <c r="D3" s="30" t="s">
        <v>76</v>
      </c>
      <c r="E3" s="31" t="s">
        <v>75</v>
      </c>
      <c r="F3" s="30" t="s">
        <v>74</v>
      </c>
      <c r="G3" s="96"/>
      <c r="H3" s="98"/>
      <c r="I3" s="103"/>
      <c r="J3" s="98"/>
    </row>
    <row r="4" spans="1:10" ht="15" thickTop="1">
      <c r="A4" s="12" t="s">
        <v>73</v>
      </c>
      <c r="B4" s="28" t="s">
        <v>50</v>
      </c>
      <c r="C4" s="10" t="str">
        <f>VLOOKUP(A4,基本工资记录表!$A$2:$I$100,3)</f>
        <v>销售部</v>
      </c>
      <c r="D4" s="8">
        <v>25000</v>
      </c>
      <c r="E4" s="8"/>
      <c r="F4" s="8"/>
      <c r="G4" s="26">
        <f t="shared" ref="G4:G9" si="0">HLOOKUP( D4,$B$16:$D$18,3)</f>
        <v>0.05</v>
      </c>
      <c r="H4" s="8">
        <f t="shared" ref="H4:H9" si="1">IF(D4&lt;=20000,D4*0.03,IF(D4&lt;=50000,D4*0.05,D4*0.08))</f>
        <v>1250</v>
      </c>
      <c r="I4" s="29"/>
      <c r="J4" s="24" t="str">
        <f t="shared" ref="J4:J11" si="2">IF(D4&gt;25000,IF(MAX($D$4:$D$9)=$D$4:$D$9,"800",""),"")</f>
        <v/>
      </c>
    </row>
    <row r="5" spans="1:10">
      <c r="A5" s="12" t="s">
        <v>43</v>
      </c>
      <c r="B5" s="27" t="s">
        <v>42</v>
      </c>
      <c r="C5" s="10" t="str">
        <f>VLOOKUP(A5,基本工资记录表!$A$2:$I$100,3)</f>
        <v>销售部</v>
      </c>
      <c r="D5" s="8">
        <v>58000</v>
      </c>
      <c r="E5" s="8"/>
      <c r="F5" s="8" t="s">
        <v>72</v>
      </c>
      <c r="G5" s="26">
        <f t="shared" si="0"/>
        <v>0.08</v>
      </c>
      <c r="H5" s="8">
        <f t="shared" si="1"/>
        <v>4640</v>
      </c>
      <c r="I5" s="8">
        <v>100</v>
      </c>
      <c r="J5" s="24" t="str">
        <f t="shared" si="2"/>
        <v/>
      </c>
    </row>
    <row r="6" spans="1:10">
      <c r="A6" s="12" t="s">
        <v>37</v>
      </c>
      <c r="B6" s="27" t="s">
        <v>36</v>
      </c>
      <c r="C6" s="10" t="str">
        <f>VLOOKUP(A6,基本工资记录表!$A$2:$I$100,3)</f>
        <v>销售部</v>
      </c>
      <c r="D6" s="8">
        <v>80000</v>
      </c>
      <c r="E6" s="8"/>
      <c r="F6" s="8"/>
      <c r="G6" s="26">
        <f t="shared" si="0"/>
        <v>0.08</v>
      </c>
      <c r="H6" s="8">
        <f t="shared" si="1"/>
        <v>6400</v>
      </c>
      <c r="I6" s="8"/>
      <c r="J6" s="24" t="str">
        <f t="shared" si="2"/>
        <v>800</v>
      </c>
    </row>
    <row r="7" spans="1:10">
      <c r="A7" s="12" t="s">
        <v>32</v>
      </c>
      <c r="B7" s="28" t="s">
        <v>31</v>
      </c>
      <c r="C7" s="10" t="str">
        <f>VLOOKUP(A7,基本工资记录表!$A$2:$I$100,3)</f>
        <v>销售部</v>
      </c>
      <c r="D7" s="8">
        <v>19000</v>
      </c>
      <c r="E7" s="8"/>
      <c r="F7" s="8"/>
      <c r="G7" s="26">
        <f t="shared" si="0"/>
        <v>0.03</v>
      </c>
      <c r="H7" s="8">
        <f t="shared" si="1"/>
        <v>570</v>
      </c>
      <c r="I7" s="8"/>
      <c r="J7" s="24" t="str">
        <f t="shared" si="2"/>
        <v/>
      </c>
    </row>
    <row r="8" spans="1:10">
      <c r="A8" s="12" t="s">
        <v>21</v>
      </c>
      <c r="B8" s="28" t="s">
        <v>20</v>
      </c>
      <c r="C8" s="10" t="str">
        <f>VLOOKUP(A8,基本工资记录表!$A$2:$I$100,3)</f>
        <v>销售部</v>
      </c>
      <c r="D8" s="8">
        <v>30000</v>
      </c>
      <c r="E8" s="8"/>
      <c r="F8" s="8"/>
      <c r="G8" s="26">
        <f t="shared" si="0"/>
        <v>0.05</v>
      </c>
      <c r="H8" s="8">
        <f t="shared" si="1"/>
        <v>1500</v>
      </c>
      <c r="I8" s="8"/>
      <c r="J8" s="24" t="str">
        <f t="shared" si="2"/>
        <v/>
      </c>
    </row>
    <row r="9" spans="1:10">
      <c r="A9" s="12" t="s">
        <v>6</v>
      </c>
      <c r="B9" s="27" t="s">
        <v>5</v>
      </c>
      <c r="C9" s="10" t="str">
        <f>VLOOKUP(A9,基本工资记录表!$A$2:$I$100,3)</f>
        <v>销售部</v>
      </c>
      <c r="D9" s="8">
        <v>32000</v>
      </c>
      <c r="E9" s="8"/>
      <c r="F9" s="8"/>
      <c r="G9" s="26">
        <f t="shared" si="0"/>
        <v>0.05</v>
      </c>
      <c r="H9" s="8">
        <f t="shared" si="1"/>
        <v>1600</v>
      </c>
      <c r="I9" s="8"/>
      <c r="J9" s="24" t="str">
        <f t="shared" si="2"/>
        <v/>
      </c>
    </row>
    <row r="10" spans="1:10">
      <c r="A10" s="12" t="s">
        <v>49</v>
      </c>
      <c r="B10" s="13" t="s">
        <v>48</v>
      </c>
      <c r="C10" s="10" t="str">
        <f>VLOOKUP(A10,基本工资记录表!$A$2:$I$100,3)</f>
        <v>行销企划部</v>
      </c>
      <c r="D10" s="8"/>
      <c r="E10" s="25" t="s">
        <v>71</v>
      </c>
      <c r="F10" s="8"/>
      <c r="G10" s="8"/>
      <c r="H10" s="8">
        <v>500</v>
      </c>
      <c r="I10" s="8"/>
      <c r="J10" s="24" t="str">
        <f t="shared" si="2"/>
        <v/>
      </c>
    </row>
    <row r="11" spans="1:10">
      <c r="A11" s="12" t="s">
        <v>41</v>
      </c>
      <c r="B11" s="13" t="s">
        <v>40</v>
      </c>
      <c r="C11" s="10" t="str">
        <f>VLOOKUP(A11,基本工资记录表!$A$2:$I$100,3)</f>
        <v>网络安全部</v>
      </c>
      <c r="D11" s="8"/>
      <c r="E11" s="25" t="s">
        <v>70</v>
      </c>
      <c r="F11" s="8"/>
      <c r="G11" s="8"/>
      <c r="H11" s="8">
        <v>200</v>
      </c>
      <c r="I11" s="8"/>
      <c r="J11" s="24" t="str">
        <f t="shared" si="2"/>
        <v/>
      </c>
    </row>
    <row r="12" spans="1:10">
      <c r="A12" s="12" t="s">
        <v>30</v>
      </c>
      <c r="B12" s="13" t="s">
        <v>29</v>
      </c>
      <c r="C12" s="10" t="str">
        <f>VLOOKUP(A12,基本工资记录表!$A$2:$I$100,3)</f>
        <v>服务部</v>
      </c>
      <c r="D12" s="8"/>
      <c r="E12" s="8" t="s">
        <v>69</v>
      </c>
      <c r="F12" s="8"/>
      <c r="G12" s="8"/>
      <c r="H12" s="8">
        <v>200</v>
      </c>
      <c r="I12" s="8"/>
      <c r="J12" s="22"/>
    </row>
    <row r="13" spans="1:10">
      <c r="A13" s="12" t="s">
        <v>47</v>
      </c>
      <c r="B13" s="11" t="s">
        <v>46</v>
      </c>
      <c r="C13" s="10" t="str">
        <f>VLOOKUP(A13,基本工资记录表!$A$2:$I$100,3)</f>
        <v>行销企划部</v>
      </c>
      <c r="D13" s="8"/>
      <c r="E13" s="8"/>
      <c r="F13" s="23" t="s">
        <v>68</v>
      </c>
      <c r="G13" s="8"/>
      <c r="H13" s="8"/>
      <c r="I13" s="8">
        <v>200</v>
      </c>
      <c r="J13" s="22"/>
    </row>
    <row r="14" spans="1:10">
      <c r="A14" s="12" t="s">
        <v>25</v>
      </c>
      <c r="B14" s="13" t="s">
        <v>24</v>
      </c>
      <c r="C14" s="10" t="str">
        <f>VLOOKUP(A14,基本工资记录表!$A$2:$I$100,3)</f>
        <v>人事部</v>
      </c>
      <c r="D14" s="8"/>
      <c r="E14" s="8"/>
      <c r="F14" s="8" t="s">
        <v>67</v>
      </c>
      <c r="G14" s="8"/>
      <c r="H14" s="8"/>
      <c r="I14" s="8">
        <v>80</v>
      </c>
      <c r="J14" s="22"/>
    </row>
    <row r="15" spans="1:10" ht="15" thickBot="1">
      <c r="B15" s="21"/>
    </row>
    <row r="16" spans="1:10" ht="15.6" thickTop="1" thickBot="1">
      <c r="A16" s="94" t="s">
        <v>66</v>
      </c>
      <c r="B16" s="20">
        <v>0</v>
      </c>
      <c r="C16" s="20">
        <v>20001</v>
      </c>
      <c r="D16" s="20">
        <v>50000</v>
      </c>
    </row>
    <row r="17" spans="1:4" ht="14.25" customHeight="1" thickTop="1" thickBot="1">
      <c r="A17" s="94"/>
      <c r="B17" s="20">
        <v>20000</v>
      </c>
      <c r="C17" s="20">
        <v>50000</v>
      </c>
      <c r="D17" s="20"/>
    </row>
    <row r="18" spans="1:4" ht="14.25" customHeight="1" thickTop="1" thickBot="1">
      <c r="A18" s="19" t="s">
        <v>65</v>
      </c>
      <c r="B18" s="18">
        <v>0.03</v>
      </c>
      <c r="C18" s="18">
        <v>0.05</v>
      </c>
      <c r="D18" s="18">
        <v>0.08</v>
      </c>
    </row>
    <row r="19" spans="1:4" ht="14.25" customHeight="1" thickTop="1">
      <c r="A19" s="17"/>
    </row>
  </sheetData>
  <mergeCells count="10">
    <mergeCell ref="A16:A17"/>
    <mergeCell ref="G2:G3"/>
    <mergeCell ref="J2:J3"/>
    <mergeCell ref="A1:J1"/>
    <mergeCell ref="A2:A3"/>
    <mergeCell ref="B2:B3"/>
    <mergeCell ref="C2:C3"/>
    <mergeCell ref="D2:F2"/>
    <mergeCell ref="H2:H3"/>
    <mergeCell ref="I2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topLeftCell="A22" zoomScaleNormal="100" workbookViewId="0">
      <selection activeCell="F5" sqref="F5"/>
    </sheetView>
  </sheetViews>
  <sheetFormatPr defaultRowHeight="14.4"/>
  <cols>
    <col min="1" max="1" width="7.44140625" customWidth="1"/>
    <col min="2" max="2" width="6.21875" customWidth="1"/>
    <col min="3" max="3" width="8.88671875" customWidth="1"/>
    <col min="4" max="34" width="4" customWidth="1"/>
    <col min="35" max="35" width="4.33203125" customWidth="1"/>
  </cols>
  <sheetData>
    <row r="1" spans="1:34" ht="31.8">
      <c r="A1" s="104" t="s">
        <v>92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</row>
    <row r="2" spans="1:34" ht="15" thickBot="1">
      <c r="A2" s="48" t="s">
        <v>91</v>
      </c>
      <c r="B2" s="47"/>
      <c r="C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4"/>
      <c r="AA2" s="44"/>
      <c r="AB2" s="44"/>
      <c r="AC2" s="44"/>
      <c r="AD2" s="44"/>
      <c r="AE2" s="44"/>
      <c r="AF2" s="44"/>
      <c r="AG2" s="44"/>
      <c r="AH2" s="44"/>
    </row>
    <row r="3" spans="1:34">
      <c r="A3" s="105" t="s">
        <v>63</v>
      </c>
      <c r="B3" s="105" t="s">
        <v>62</v>
      </c>
      <c r="C3" s="105" t="s">
        <v>61</v>
      </c>
      <c r="D3" s="43">
        <v>39692</v>
      </c>
      <c r="E3" s="43">
        <v>39693</v>
      </c>
      <c r="F3" s="43">
        <v>39694</v>
      </c>
      <c r="G3" s="43">
        <v>39695</v>
      </c>
      <c r="H3" s="43">
        <v>39696</v>
      </c>
      <c r="I3" s="43">
        <v>39697</v>
      </c>
      <c r="J3" s="43">
        <v>39698</v>
      </c>
      <c r="K3" s="43">
        <v>39699</v>
      </c>
      <c r="L3" s="43">
        <v>39700</v>
      </c>
      <c r="M3" s="43">
        <v>39701</v>
      </c>
      <c r="N3" s="43">
        <v>39702</v>
      </c>
      <c r="O3" s="43">
        <v>39703</v>
      </c>
      <c r="P3" s="43">
        <v>39704</v>
      </c>
      <c r="Q3" s="43">
        <v>39705</v>
      </c>
      <c r="R3" s="43">
        <v>39706</v>
      </c>
      <c r="S3" s="43">
        <v>39707</v>
      </c>
      <c r="T3" s="43">
        <v>39708</v>
      </c>
      <c r="U3" s="43">
        <v>39709</v>
      </c>
      <c r="V3" s="43">
        <v>39710</v>
      </c>
      <c r="W3" s="43">
        <v>39711</v>
      </c>
      <c r="X3" s="43">
        <v>39712</v>
      </c>
      <c r="Y3" s="43">
        <v>39713</v>
      </c>
      <c r="Z3" s="43">
        <v>39714</v>
      </c>
      <c r="AA3" s="43">
        <v>39715</v>
      </c>
      <c r="AB3" s="43">
        <v>39716</v>
      </c>
      <c r="AC3" s="43">
        <v>39717</v>
      </c>
      <c r="AD3" s="43">
        <v>39718</v>
      </c>
      <c r="AE3" s="43">
        <v>39719</v>
      </c>
      <c r="AF3" s="43">
        <v>39720</v>
      </c>
      <c r="AG3" s="43">
        <v>39721</v>
      </c>
      <c r="AH3" s="42"/>
    </row>
    <row r="4" spans="1:34" ht="15" thickBot="1">
      <c r="A4" s="106"/>
      <c r="B4" s="106"/>
      <c r="C4" s="106"/>
      <c r="D4" s="41" t="str">
        <f t="shared" ref="D4:AG4" si="0">CHOOSE(WEEKDAY(D3,2),"一","二","三","四","五","六","日")</f>
        <v>一</v>
      </c>
      <c r="E4" s="41" t="str">
        <f t="shared" si="0"/>
        <v>二</v>
      </c>
      <c r="F4" s="41" t="str">
        <f t="shared" si="0"/>
        <v>三</v>
      </c>
      <c r="G4" s="41" t="str">
        <f t="shared" si="0"/>
        <v>四</v>
      </c>
      <c r="H4" s="41" t="str">
        <f t="shared" si="0"/>
        <v>五</v>
      </c>
      <c r="I4" s="41" t="str">
        <f t="shared" si="0"/>
        <v>六</v>
      </c>
      <c r="J4" s="41" t="str">
        <f t="shared" si="0"/>
        <v>日</v>
      </c>
      <c r="K4" s="41" t="str">
        <f t="shared" si="0"/>
        <v>一</v>
      </c>
      <c r="L4" s="41" t="str">
        <f t="shared" si="0"/>
        <v>二</v>
      </c>
      <c r="M4" s="41" t="str">
        <f t="shared" si="0"/>
        <v>三</v>
      </c>
      <c r="N4" s="41" t="str">
        <f t="shared" si="0"/>
        <v>四</v>
      </c>
      <c r="O4" s="41" t="str">
        <f t="shared" si="0"/>
        <v>五</v>
      </c>
      <c r="P4" s="41" t="str">
        <f t="shared" si="0"/>
        <v>六</v>
      </c>
      <c r="Q4" s="41" t="str">
        <f t="shared" si="0"/>
        <v>日</v>
      </c>
      <c r="R4" s="41" t="str">
        <f t="shared" si="0"/>
        <v>一</v>
      </c>
      <c r="S4" s="41" t="str">
        <f t="shared" si="0"/>
        <v>二</v>
      </c>
      <c r="T4" s="41" t="str">
        <f t="shared" si="0"/>
        <v>三</v>
      </c>
      <c r="U4" s="41" t="str">
        <f t="shared" si="0"/>
        <v>四</v>
      </c>
      <c r="V4" s="41" t="str">
        <f t="shared" si="0"/>
        <v>五</v>
      </c>
      <c r="W4" s="41" t="str">
        <f t="shared" si="0"/>
        <v>六</v>
      </c>
      <c r="X4" s="41" t="str">
        <f t="shared" si="0"/>
        <v>日</v>
      </c>
      <c r="Y4" s="41" t="str">
        <f t="shared" si="0"/>
        <v>一</v>
      </c>
      <c r="Z4" s="41" t="str">
        <f t="shared" si="0"/>
        <v>二</v>
      </c>
      <c r="AA4" s="41" t="str">
        <f t="shared" si="0"/>
        <v>三</v>
      </c>
      <c r="AB4" s="41" t="str">
        <f t="shared" si="0"/>
        <v>四</v>
      </c>
      <c r="AC4" s="41" t="str">
        <f t="shared" si="0"/>
        <v>五</v>
      </c>
      <c r="AD4" s="41" t="str">
        <f t="shared" si="0"/>
        <v>六</v>
      </c>
      <c r="AE4" s="41" t="str">
        <f t="shared" si="0"/>
        <v>日</v>
      </c>
      <c r="AF4" s="41" t="str">
        <f t="shared" si="0"/>
        <v>一</v>
      </c>
      <c r="AG4" s="41" t="str">
        <f t="shared" si="0"/>
        <v>二</v>
      </c>
      <c r="AH4" s="41"/>
    </row>
    <row r="5" spans="1:34" ht="15" thickBot="1">
      <c r="A5" s="35" t="str">
        <f>基本工资记录表!A3</f>
        <v>RQ_0001</v>
      </c>
      <c r="B5" s="35" t="str">
        <f>基本工资记录表!B3</f>
        <v>黄昕恺</v>
      </c>
      <c r="C5" s="40" t="str">
        <f>基本工资记录表!C3</f>
        <v>财务部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7"/>
    </row>
    <row r="6" spans="1:34" ht="15" thickBot="1">
      <c r="A6" s="36" t="str">
        <f>基本工资记录表!A4</f>
        <v>RQ_0002</v>
      </c>
      <c r="B6" s="35" t="str">
        <f>基本工资记录表!B4</f>
        <v>陈佳栋</v>
      </c>
      <c r="C6" s="10" t="str">
        <f>基本工资记录表!C4</f>
        <v>销售部</v>
      </c>
      <c r="D6" s="34" t="s">
        <v>83</v>
      </c>
      <c r="E6" s="34" t="s">
        <v>83</v>
      </c>
      <c r="F6" s="34" t="s">
        <v>83</v>
      </c>
      <c r="G6" s="34"/>
      <c r="H6" s="34"/>
      <c r="I6" s="34"/>
      <c r="J6" s="34"/>
      <c r="K6" s="34"/>
      <c r="L6" s="34"/>
      <c r="M6" s="34"/>
      <c r="N6" s="34"/>
      <c r="O6" s="34"/>
      <c r="P6" s="33"/>
      <c r="Q6" s="33"/>
      <c r="R6" s="33"/>
      <c r="S6" s="33"/>
      <c r="T6" s="33"/>
      <c r="U6" s="33"/>
      <c r="V6" s="33"/>
      <c r="W6" s="33"/>
      <c r="X6" s="33"/>
      <c r="Y6" s="33" t="s">
        <v>84</v>
      </c>
      <c r="Z6" s="33"/>
      <c r="AA6" s="33"/>
      <c r="AB6" s="33"/>
      <c r="AC6" s="33"/>
      <c r="AD6" s="33"/>
      <c r="AE6" s="33"/>
      <c r="AF6" s="33"/>
      <c r="AG6" s="33" t="s">
        <v>84</v>
      </c>
      <c r="AH6" s="32"/>
    </row>
    <row r="7" spans="1:34" ht="15" thickBot="1">
      <c r="A7" s="36" t="str">
        <f>基本工资记录表!A5</f>
        <v>RQ_0003</v>
      </c>
      <c r="B7" s="35" t="str">
        <f>基本工资记录表!B5</f>
        <v>黄炫龙</v>
      </c>
      <c r="C7" s="10" t="str">
        <f>基本工资记录表!C5</f>
        <v>行销企划部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3"/>
      <c r="Q7" s="33"/>
      <c r="R7" s="33" t="s">
        <v>90</v>
      </c>
      <c r="S7" s="33" t="s">
        <v>90</v>
      </c>
      <c r="T7" s="33" t="s">
        <v>90</v>
      </c>
      <c r="U7" s="33"/>
      <c r="V7" s="33"/>
      <c r="W7" s="33"/>
      <c r="X7" s="33"/>
      <c r="Y7" s="33"/>
      <c r="Z7" s="33"/>
      <c r="AA7" s="33"/>
      <c r="AB7" s="33"/>
      <c r="AC7" s="33" t="s">
        <v>83</v>
      </c>
      <c r="AD7" s="33"/>
      <c r="AE7" s="33"/>
      <c r="AF7" s="33"/>
      <c r="AG7" s="33"/>
      <c r="AH7" s="32"/>
    </row>
    <row r="8" spans="1:34" ht="15" thickBot="1">
      <c r="A8" s="36" t="str">
        <f>基本工资记录表!A6</f>
        <v>RQ_0004</v>
      </c>
      <c r="B8" s="35" t="str">
        <f>基本工资记录表!B6</f>
        <v>王赣超</v>
      </c>
      <c r="C8" s="10" t="str">
        <f>基本工资记录表!C6</f>
        <v>行销企划部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86</v>
      </c>
      <c r="AA8" s="33"/>
      <c r="AB8" s="33"/>
      <c r="AC8" s="33"/>
      <c r="AD8" s="33"/>
      <c r="AE8" s="33"/>
      <c r="AF8" s="33"/>
      <c r="AG8" s="33" t="s">
        <v>84</v>
      </c>
      <c r="AH8" s="32"/>
    </row>
    <row r="9" spans="1:34" ht="15" thickBot="1">
      <c r="A9" s="36" t="str">
        <f>基本工资记录表!A7</f>
        <v>RQ_0005</v>
      </c>
      <c r="B9" s="35" t="str">
        <f>基本工资记录表!B7</f>
        <v>张颖先</v>
      </c>
      <c r="C9" s="10" t="str">
        <f>基本工资记录表!C7</f>
        <v>财务部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2"/>
    </row>
    <row r="10" spans="1:34" ht="15" thickBot="1">
      <c r="A10" s="36" t="str">
        <f>基本工资记录表!A8</f>
        <v>RQ_0006</v>
      </c>
      <c r="B10" s="35" t="str">
        <f>基本工资记录表!B8</f>
        <v>栗立</v>
      </c>
      <c r="C10" s="10" t="str">
        <f>基本工资记录表!C8</f>
        <v>销售部</v>
      </c>
      <c r="D10" s="34" t="s">
        <v>87</v>
      </c>
      <c r="E10" s="34"/>
      <c r="F10" s="34"/>
      <c r="G10" s="34"/>
      <c r="H10" s="34"/>
      <c r="I10" s="34"/>
      <c r="J10" s="34"/>
      <c r="K10" s="34" t="s">
        <v>85</v>
      </c>
      <c r="L10" s="34" t="s">
        <v>85</v>
      </c>
      <c r="M10" s="34" t="s">
        <v>85</v>
      </c>
      <c r="N10" s="34" t="s">
        <v>85</v>
      </c>
      <c r="O10" s="34" t="s">
        <v>85</v>
      </c>
      <c r="P10" s="33"/>
      <c r="Q10" s="33"/>
      <c r="R10" s="33" t="s">
        <v>85</v>
      </c>
      <c r="S10" s="33" t="s">
        <v>85</v>
      </c>
      <c r="T10" s="33" t="s">
        <v>85</v>
      </c>
      <c r="U10" s="33" t="s">
        <v>85</v>
      </c>
      <c r="V10" s="33" t="s">
        <v>85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2"/>
    </row>
    <row r="11" spans="1:34" ht="15" thickBot="1">
      <c r="A11" s="36" t="str">
        <f>基本工资记录表!A9</f>
        <v>RQ_0007</v>
      </c>
      <c r="B11" s="35" t="str">
        <f>基本工资记录表!B9</f>
        <v>罗梦龙</v>
      </c>
      <c r="C11" s="10" t="str">
        <f>基本工资记录表!C9</f>
        <v>网络安全部</v>
      </c>
      <c r="D11" s="34"/>
      <c r="E11" s="34"/>
      <c r="F11" s="34"/>
      <c r="G11" s="34"/>
      <c r="H11" s="34" t="s">
        <v>83</v>
      </c>
      <c r="I11" s="34"/>
      <c r="J11" s="34"/>
      <c r="K11" s="34"/>
      <c r="L11" s="34"/>
      <c r="M11" s="34"/>
      <c r="N11" s="34"/>
      <c r="O11" s="34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2"/>
    </row>
    <row r="12" spans="1:34" ht="15" thickBot="1">
      <c r="A12" s="36" t="str">
        <f>基本工资记录表!A10</f>
        <v>RQ_0008</v>
      </c>
      <c r="B12" s="35" t="str">
        <f>基本工资记录表!B10</f>
        <v>胡晓峰</v>
      </c>
      <c r="C12" s="10" t="str">
        <f>基本工资记录表!C10</f>
        <v>服务部</v>
      </c>
      <c r="D12" s="34" t="s">
        <v>89</v>
      </c>
      <c r="E12" s="34" t="s">
        <v>89</v>
      </c>
      <c r="F12" s="34" t="s">
        <v>89</v>
      </c>
      <c r="G12" s="34" t="s">
        <v>89</v>
      </c>
      <c r="H12" s="34" t="s">
        <v>89</v>
      </c>
      <c r="I12" s="34"/>
      <c r="J12" s="34"/>
      <c r="K12" s="34"/>
      <c r="L12" s="34"/>
      <c r="M12" s="34" t="s">
        <v>87</v>
      </c>
      <c r="N12" s="34"/>
      <c r="O12" s="34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 t="s">
        <v>83</v>
      </c>
      <c r="AD12" s="33"/>
      <c r="AE12" s="33"/>
      <c r="AF12" s="33"/>
      <c r="AG12" s="33"/>
      <c r="AH12" s="32"/>
    </row>
    <row r="13" spans="1:34" ht="15" thickBot="1">
      <c r="A13" s="36" t="str">
        <f>基本工资记录表!A11</f>
        <v>RQ_0009</v>
      </c>
      <c r="B13" s="35" t="str">
        <f>基本工资记录表!B11</f>
        <v>金昌硕</v>
      </c>
      <c r="C13" s="10" t="str">
        <f>基本工资记录表!C11</f>
        <v>销售部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2"/>
    </row>
    <row r="14" spans="1:34" ht="15" thickBot="1">
      <c r="A14" s="36" t="str">
        <f>基本工资记录表!A12</f>
        <v>RQ_0010</v>
      </c>
      <c r="B14" s="35" t="str">
        <f>基本工资记录表!B12</f>
        <v>谢正平</v>
      </c>
      <c r="C14" s="10" t="str">
        <f>基本工资记录表!C12</f>
        <v>财务部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2"/>
    </row>
    <row r="15" spans="1:34" ht="15" thickBot="1">
      <c r="A15" s="36" t="str">
        <f>基本工资记录表!A13</f>
        <v>RQ_0011</v>
      </c>
      <c r="B15" s="35" t="str">
        <f>基本工资记录表!B13</f>
        <v>张哲</v>
      </c>
      <c r="C15" s="10" t="str">
        <f>基本工资记录表!C13</f>
        <v>销售部</v>
      </c>
      <c r="D15" s="34" t="s">
        <v>85</v>
      </c>
      <c r="E15" s="34"/>
      <c r="F15" s="34" t="s">
        <v>84</v>
      </c>
      <c r="G15" s="34"/>
      <c r="H15" s="34"/>
      <c r="I15" s="34"/>
      <c r="J15" s="34"/>
      <c r="K15" s="34"/>
      <c r="L15" s="34"/>
      <c r="M15" s="34" t="s">
        <v>83</v>
      </c>
      <c r="N15" s="34"/>
      <c r="O15" s="34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2"/>
    </row>
    <row r="16" spans="1:34" ht="15" thickBot="1">
      <c r="A16" s="36" t="str">
        <f>基本工资记录表!A14</f>
        <v>RQ_0012</v>
      </c>
      <c r="B16" s="35" t="str">
        <f>基本工资记录表!B14</f>
        <v>顾昊天</v>
      </c>
      <c r="C16" s="10" t="str">
        <f>基本工资记录表!C14</f>
        <v>服务部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  <c r="Q16" s="33"/>
      <c r="R16" s="33" t="s">
        <v>84</v>
      </c>
      <c r="S16" s="33"/>
      <c r="T16" s="33"/>
      <c r="U16" s="33"/>
      <c r="V16" s="33" t="s">
        <v>88</v>
      </c>
      <c r="W16" s="33"/>
      <c r="X16" s="33"/>
      <c r="Y16" s="33"/>
      <c r="Z16" s="33"/>
      <c r="AA16" s="33" t="s">
        <v>87</v>
      </c>
      <c r="AB16" s="33"/>
      <c r="AC16" s="33"/>
      <c r="AD16" s="33"/>
      <c r="AE16" s="33"/>
      <c r="AF16" s="33"/>
      <c r="AG16" s="33"/>
      <c r="AH16" s="32"/>
    </row>
    <row r="17" spans="1:34" ht="15" thickBot="1">
      <c r="A17" s="36" t="str">
        <f>基本工资记录表!A15</f>
        <v>RQ_0013</v>
      </c>
      <c r="B17" s="35" t="str">
        <f>基本工资记录表!B15</f>
        <v>吴圣仁</v>
      </c>
      <c r="C17" s="10" t="str">
        <f>基本工资记录表!C15</f>
        <v>人事部</v>
      </c>
      <c r="D17" s="34"/>
      <c r="E17" s="34"/>
      <c r="F17" s="34"/>
      <c r="G17" s="34" t="s">
        <v>83</v>
      </c>
      <c r="H17" s="34"/>
      <c r="I17" s="34"/>
      <c r="J17" s="34"/>
      <c r="K17" s="34"/>
      <c r="L17" s="34"/>
      <c r="M17" s="34"/>
      <c r="N17" s="34"/>
      <c r="O17" s="34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2"/>
    </row>
    <row r="18" spans="1:34" ht="15" thickBot="1">
      <c r="A18" s="36" t="str">
        <f>基本工资记录表!A16</f>
        <v>RQ_0014</v>
      </c>
      <c r="B18" s="35" t="str">
        <f>基本工资记录表!B16</f>
        <v>刘洋</v>
      </c>
      <c r="C18" s="10" t="str">
        <f>基本工资记录表!C16</f>
        <v>人事部</v>
      </c>
      <c r="D18" s="34"/>
      <c r="E18" s="34"/>
      <c r="F18" s="34"/>
      <c r="G18" s="34"/>
      <c r="H18" s="34"/>
      <c r="I18" s="34"/>
      <c r="J18" s="34"/>
      <c r="K18" s="34"/>
      <c r="L18" s="34"/>
      <c r="M18" s="34" t="s">
        <v>85</v>
      </c>
      <c r="N18" s="34"/>
      <c r="O18" s="34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2"/>
    </row>
    <row r="19" spans="1:34" ht="15" thickBot="1">
      <c r="A19" s="36" t="str">
        <f>基本工资记录表!A17</f>
        <v>RQ_0015</v>
      </c>
      <c r="B19" s="35" t="str">
        <f>基本工资记录表!B17</f>
        <v>周文超</v>
      </c>
      <c r="C19" s="10" t="str">
        <f>基本工资记录表!C17</f>
        <v>网络安全部</v>
      </c>
      <c r="D19" s="34"/>
      <c r="E19" s="34"/>
      <c r="F19" s="34"/>
      <c r="G19" s="34"/>
      <c r="H19" s="34"/>
      <c r="I19" s="34"/>
      <c r="J19" s="34"/>
      <c r="K19" s="34"/>
      <c r="L19" s="34" t="s">
        <v>88</v>
      </c>
      <c r="M19" s="34"/>
      <c r="N19" s="34"/>
      <c r="O19" s="34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2"/>
    </row>
    <row r="20" spans="1:34" ht="15" thickBot="1">
      <c r="A20" s="36" t="str">
        <f>基本工资记录表!A18</f>
        <v>RQ_0016</v>
      </c>
      <c r="B20" s="35" t="str">
        <f>基本工资记录表!B18</f>
        <v>冯亦梁</v>
      </c>
      <c r="C20" s="10" t="str">
        <f>基本工资记录表!C18</f>
        <v>销售部</v>
      </c>
      <c r="D20" s="34" t="s">
        <v>85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3"/>
      <c r="Q20" s="33"/>
      <c r="R20" s="33"/>
      <c r="S20" s="33"/>
      <c r="T20" s="33" t="s">
        <v>85</v>
      </c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 t="s">
        <v>83</v>
      </c>
      <c r="AG20" s="33"/>
      <c r="AH20" s="32"/>
    </row>
    <row r="21" spans="1:34" ht="15" thickBot="1">
      <c r="A21" s="36" t="str">
        <f>基本工资记录表!A19</f>
        <v>RQ_0017</v>
      </c>
      <c r="B21" s="35" t="str">
        <f>基本工资记录表!B19</f>
        <v>秦超</v>
      </c>
      <c r="C21" s="10" t="str">
        <f>基本工资记录表!C19</f>
        <v>服务部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2"/>
    </row>
    <row r="22" spans="1:34" ht="15" thickBot="1">
      <c r="A22" s="36" t="str">
        <f>基本工资记录表!A20</f>
        <v>RQ_0018</v>
      </c>
      <c r="B22" s="35" t="str">
        <f>基本工资记录表!B20</f>
        <v>郑辰</v>
      </c>
      <c r="C22" s="10" t="str">
        <f>基本工资记录表!C20</f>
        <v>服务部</v>
      </c>
      <c r="D22" s="34"/>
      <c r="E22" s="34"/>
      <c r="F22" s="34" t="s">
        <v>87</v>
      </c>
      <c r="G22" s="34"/>
      <c r="H22" s="34"/>
      <c r="I22" s="34"/>
      <c r="J22" s="34"/>
      <c r="K22" s="34"/>
      <c r="L22" s="34"/>
      <c r="M22" s="34"/>
      <c r="N22" s="34" t="s">
        <v>86</v>
      </c>
      <c r="O22" s="34"/>
      <c r="P22" s="33"/>
      <c r="Q22" s="33"/>
      <c r="R22" s="33"/>
      <c r="S22" s="33" t="s">
        <v>87</v>
      </c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2"/>
    </row>
    <row r="23" spans="1:34" ht="15" thickBot="1">
      <c r="A23" s="36" t="str">
        <f>基本工资记录表!A21</f>
        <v>RQ_0019</v>
      </c>
      <c r="B23" s="35" t="str">
        <f>基本工资记录表!B21</f>
        <v>吴文铮</v>
      </c>
      <c r="C23" s="10" t="str">
        <f>基本工资记录表!C21</f>
        <v>人事部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 t="s">
        <v>85</v>
      </c>
      <c r="AG23" s="33" t="s">
        <v>85</v>
      </c>
      <c r="AH23" s="32"/>
    </row>
    <row r="24" spans="1:34" ht="15" thickBot="1">
      <c r="A24" s="36" t="str">
        <f>基本工资记录表!A22</f>
        <v>RQ_0020</v>
      </c>
      <c r="B24" s="35" t="str">
        <f>基本工资记录表!B22</f>
        <v>史佳颖</v>
      </c>
      <c r="C24" s="10" t="str">
        <f>基本工资记录表!C22</f>
        <v>行销企划部</v>
      </c>
      <c r="D24" s="34"/>
      <c r="E24" s="34"/>
      <c r="F24" s="34"/>
      <c r="G24" s="34"/>
      <c r="H24" s="34" t="s">
        <v>83</v>
      </c>
      <c r="I24" s="34"/>
      <c r="J24" s="34"/>
      <c r="K24" s="34"/>
      <c r="L24" s="34"/>
      <c r="M24" s="34"/>
      <c r="N24" s="34"/>
      <c r="O24" s="34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 t="s">
        <v>86</v>
      </c>
      <c r="AB24" s="33"/>
      <c r="AC24" s="33"/>
      <c r="AD24" s="33"/>
      <c r="AE24" s="33"/>
      <c r="AF24" s="33"/>
      <c r="AG24" s="33"/>
      <c r="AH24" s="32"/>
    </row>
    <row r="25" spans="1:34" ht="15" thickBot="1">
      <c r="A25" s="36" t="str">
        <f>基本工资记录表!A23</f>
        <v>RQ_0021</v>
      </c>
      <c r="B25" s="35" t="str">
        <f>基本工资记录表!B23</f>
        <v>方琛菲</v>
      </c>
      <c r="C25" s="10" t="str">
        <f>基本工资记录表!C23</f>
        <v>网络安全部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2"/>
    </row>
    <row r="26" spans="1:34" ht="15" thickBot="1">
      <c r="A26" s="36" t="str">
        <f>基本工资记录表!A24</f>
        <v>RQ_0022</v>
      </c>
      <c r="B26" s="35" t="str">
        <f>基本工资记录表!B24</f>
        <v>谭风明</v>
      </c>
      <c r="C26" s="10" t="str">
        <f>基本工资记录表!C24</f>
        <v>销售部</v>
      </c>
      <c r="D26" s="34" t="s">
        <v>84</v>
      </c>
      <c r="E26" s="34"/>
      <c r="F26" s="34"/>
      <c r="G26" s="34"/>
      <c r="H26" s="34"/>
      <c r="I26" s="34"/>
      <c r="J26" s="34"/>
      <c r="K26" s="34"/>
      <c r="L26" s="34"/>
      <c r="M26" s="34"/>
      <c r="N26" s="34" t="s">
        <v>85</v>
      </c>
      <c r="O26" s="34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 t="s">
        <v>84</v>
      </c>
      <c r="AB26" s="33"/>
      <c r="AC26" s="33"/>
      <c r="AD26" s="33"/>
      <c r="AE26" s="33"/>
      <c r="AF26" s="33"/>
      <c r="AG26" s="33"/>
      <c r="AH26" s="32"/>
    </row>
    <row r="27" spans="1:34">
      <c r="A27" s="36" t="str">
        <f>基本工资记录表!A25</f>
        <v>RQ_0023</v>
      </c>
      <c r="B27" s="35" t="str">
        <f>基本工资记录表!B25</f>
        <v>赵中华</v>
      </c>
      <c r="C27" s="10" t="str">
        <f>基本工资记录表!C25</f>
        <v>行销企划部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3"/>
      <c r="Q27" s="33"/>
      <c r="R27" s="33"/>
      <c r="S27" s="33"/>
      <c r="T27" s="33" t="s">
        <v>83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2"/>
    </row>
  </sheetData>
  <mergeCells count="4">
    <mergeCell ref="A1:AH1"/>
    <mergeCell ref="A3:A4"/>
    <mergeCell ref="B3:B4"/>
    <mergeCell ref="C3:C4"/>
  </mergeCells>
  <phoneticPr fontId="1" type="noConversion"/>
  <conditionalFormatting sqref="D4:AG4">
    <cfRule type="cellIs" dxfId="1" priority="1" operator="equal">
      <formula>"日"</formula>
    </cfRule>
    <cfRule type="cellIs" dxfId="0" priority="2" operator="equal">
      <formula>"六"</formula>
    </cfRule>
  </conditionalFormatting>
  <dataValidations count="1">
    <dataValidation type="list" allowBlank="1" showInputMessage="1" showErrorMessage="1" sqref="D5:AH27" xr:uid="{00000000-0002-0000-0200-000000000000}">
      <formula1>"病假,事假,旷工,年假,婚假,孕假,迟到1,迟到2,迟到3"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topLeftCell="A2" workbookViewId="0">
      <selection activeCell="D5" sqref="D5:I5"/>
    </sheetView>
  </sheetViews>
  <sheetFormatPr defaultRowHeight="14.4"/>
  <cols>
    <col min="1" max="1" width="7.33203125" customWidth="1"/>
    <col min="2" max="2" width="6.109375" customWidth="1"/>
    <col min="3" max="3" width="8.88671875" customWidth="1"/>
    <col min="4" max="9" width="4.88671875" customWidth="1"/>
    <col min="10" max="12" width="5.6640625" customWidth="1"/>
    <col min="15" max="15" width="9.109375" customWidth="1"/>
    <col min="16" max="16" width="8.6640625" customWidth="1"/>
  </cols>
  <sheetData>
    <row r="1" spans="1:16" ht="24.6" thickBot="1">
      <c r="A1" s="107" t="s">
        <v>116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</row>
    <row r="2" spans="1:16" ht="15" thickTop="1">
      <c r="A2" s="59" t="s">
        <v>115</v>
      </c>
      <c r="B2" s="60">
        <f>NETWORKDAYS(考勤表!D3,考勤表!AG3)</f>
        <v>22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8"/>
      <c r="N2" s="58"/>
      <c r="O2" s="58"/>
      <c r="P2" s="58"/>
    </row>
    <row r="3" spans="1:16">
      <c r="A3" s="108" t="s">
        <v>114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</row>
    <row r="4" spans="1:16" ht="15" thickBot="1">
      <c r="A4" s="59" t="s">
        <v>113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8"/>
      <c r="N4" s="58"/>
      <c r="O4" s="58"/>
      <c r="P4" s="58"/>
    </row>
    <row r="5" spans="1:16" ht="16.8" thickTop="1" thickBot="1">
      <c r="A5" s="109" t="s">
        <v>112</v>
      </c>
      <c r="B5" s="110"/>
      <c r="C5" s="111"/>
      <c r="D5" s="112" t="s">
        <v>111</v>
      </c>
      <c r="E5" s="110"/>
      <c r="F5" s="110"/>
      <c r="G5" s="110"/>
      <c r="H5" s="110"/>
      <c r="I5" s="111"/>
      <c r="J5" s="112" t="s">
        <v>110</v>
      </c>
      <c r="K5" s="110"/>
      <c r="L5" s="111"/>
      <c r="M5" s="112" t="s">
        <v>109</v>
      </c>
      <c r="N5" s="110"/>
      <c r="O5" s="110"/>
      <c r="P5" s="113"/>
    </row>
    <row r="6" spans="1:16" ht="15" thickTop="1">
      <c r="A6" s="57" t="s">
        <v>108</v>
      </c>
      <c r="B6" s="56" t="s">
        <v>107</v>
      </c>
      <c r="C6" s="56" t="s">
        <v>106</v>
      </c>
      <c r="D6" s="56" t="s">
        <v>105</v>
      </c>
      <c r="E6" s="56" t="s">
        <v>104</v>
      </c>
      <c r="F6" s="56" t="s">
        <v>103</v>
      </c>
      <c r="G6" s="56" t="s">
        <v>102</v>
      </c>
      <c r="H6" s="56" t="s">
        <v>101</v>
      </c>
      <c r="I6" s="56" t="s">
        <v>100</v>
      </c>
      <c r="J6" s="56" t="s">
        <v>99</v>
      </c>
      <c r="K6" s="56" t="s">
        <v>98</v>
      </c>
      <c r="L6" s="56" t="s">
        <v>97</v>
      </c>
      <c r="M6" s="56" t="s">
        <v>96</v>
      </c>
      <c r="N6" s="56" t="s">
        <v>95</v>
      </c>
      <c r="O6" s="55" t="s">
        <v>94</v>
      </c>
      <c r="P6" s="54" t="s">
        <v>93</v>
      </c>
    </row>
    <row r="7" spans="1:16">
      <c r="A7" s="52" t="str">
        <f>基本工资记录表!A3</f>
        <v>RQ_0001</v>
      </c>
      <c r="B7" s="52" t="str">
        <f>基本工资记录表!B3</f>
        <v>黄昕恺</v>
      </c>
      <c r="C7" s="10" t="str">
        <f>基本工资记录表!C3</f>
        <v>财务部</v>
      </c>
      <c r="D7" s="11">
        <f>COUNTIF(考勤表!$D5:$AG5,D$6)</f>
        <v>0</v>
      </c>
      <c r="E7" s="11">
        <f>COUNTIF(考勤表!$D5:$AG5,E$6)</f>
        <v>0</v>
      </c>
      <c r="F7" s="11">
        <f>COUNTIF(考勤表!$D5:$AG5,F$6)</f>
        <v>0</v>
      </c>
      <c r="G7" s="11">
        <f>COUNTIF(考勤表!$D5:$AG5,G$6)</f>
        <v>0</v>
      </c>
      <c r="H7" s="11">
        <f>COUNTIF(考勤表!$D5:$AG5,H$6)</f>
        <v>0</v>
      </c>
      <c r="I7" s="11">
        <f>COUNTIF(考勤表!$D5:$AG5,I$6)</f>
        <v>0</v>
      </c>
      <c r="J7" s="11">
        <f>COUNTIF(考勤表!$D5:$AG5,J$6)</f>
        <v>0</v>
      </c>
      <c r="K7" s="11">
        <f>COUNTIF(考勤表!$D5:$AG5,K$6)</f>
        <v>0</v>
      </c>
      <c r="L7" s="11">
        <f>COUNTIF(考勤表!$D5:$AG5,L$6)</f>
        <v>0</v>
      </c>
      <c r="M7" s="11">
        <f t="shared" ref="M7:M29" si="0">D7*30+E7*50+F7*200</f>
        <v>0</v>
      </c>
      <c r="N7" s="11">
        <f t="shared" ref="N7:N29" si="1">J7*10+K7*30+L7*100</f>
        <v>0</v>
      </c>
      <c r="O7" s="50">
        <f t="shared" ref="O7:O29" si="2">M7+N7</f>
        <v>0</v>
      </c>
      <c r="P7" s="49">
        <f t="array" ref="P7">IF(AND(D7:L7=0),200,0)</f>
        <v>200</v>
      </c>
    </row>
    <row r="8" spans="1:16">
      <c r="A8" s="52" t="str">
        <f>基本工资记录表!A4</f>
        <v>RQ_0002</v>
      </c>
      <c r="B8" s="52" t="str">
        <f>基本工资记录表!B4</f>
        <v>陈佳栋</v>
      </c>
      <c r="C8" s="10" t="str">
        <f>基本工资记录表!C4</f>
        <v>销售部</v>
      </c>
      <c r="D8" s="11">
        <f>COUNTIF(考勤表!$D6:$AG6,D$6)</f>
        <v>0</v>
      </c>
      <c r="E8" s="11">
        <f>COUNTIF(考勤表!$D6:$AG6,E$6)</f>
        <v>3</v>
      </c>
      <c r="F8" s="11">
        <f>COUNTIF(考勤表!$D6:$AG6,F$6)</f>
        <v>0</v>
      </c>
      <c r="G8" s="11">
        <f>COUNTIF(考勤表!$D6:$AG6,G$6)</f>
        <v>0</v>
      </c>
      <c r="H8" s="11">
        <f>COUNTIF(考勤表!$D6:$AG6,H$6)</f>
        <v>0</v>
      </c>
      <c r="I8" s="11">
        <f>COUNTIF(考勤表!$D6:$AG6,I$6)</f>
        <v>0</v>
      </c>
      <c r="J8" s="11">
        <f>COUNTIF(考勤表!$D6:$AG6,J$6)</f>
        <v>2</v>
      </c>
      <c r="K8" s="11">
        <f>COUNTIF(考勤表!$D6:$AG6,K$6)</f>
        <v>0</v>
      </c>
      <c r="L8" s="11">
        <f>COUNTIF(考勤表!$D6:$AG6,L$6)</f>
        <v>0</v>
      </c>
      <c r="M8" s="11">
        <f t="shared" si="0"/>
        <v>150</v>
      </c>
      <c r="N8" s="11">
        <f t="shared" si="1"/>
        <v>20</v>
      </c>
      <c r="O8" s="50">
        <f t="shared" si="2"/>
        <v>170</v>
      </c>
      <c r="P8" s="49">
        <f t="array" ref="P8">IF(AND(D8:L8=0),200,0)</f>
        <v>0</v>
      </c>
    </row>
    <row r="9" spans="1:16">
      <c r="A9" s="52" t="str">
        <f>基本工资记录表!A5</f>
        <v>RQ_0003</v>
      </c>
      <c r="B9" s="52" t="str">
        <f>基本工资记录表!B5</f>
        <v>黄炫龙</v>
      </c>
      <c r="C9" s="10" t="str">
        <f>基本工资记录表!C5</f>
        <v>行销企划部</v>
      </c>
      <c r="D9" s="11">
        <f>COUNTIF(考勤表!$D7:$AG7,D$6)</f>
        <v>0</v>
      </c>
      <c r="E9" s="11">
        <f>COUNTIF(考勤表!$D7:$AG7,E$6)</f>
        <v>1</v>
      </c>
      <c r="F9" s="11">
        <f>COUNTIF(考勤表!$D7:$AG7,F$6)</f>
        <v>0</v>
      </c>
      <c r="G9" s="11">
        <f>COUNTIF(考勤表!$D7:$AG7,G$6)</f>
        <v>0</v>
      </c>
      <c r="H9" s="11">
        <f>COUNTIF(考勤表!$D7:$AG7,H$6)</f>
        <v>3</v>
      </c>
      <c r="I9" s="11">
        <f>COUNTIF(考勤表!$D7:$AG7,I$6)</f>
        <v>0</v>
      </c>
      <c r="J9" s="11">
        <f>COUNTIF(考勤表!$D7:$AG7,J$6)</f>
        <v>0</v>
      </c>
      <c r="K9" s="11">
        <f>COUNTIF(考勤表!$D7:$AG7,K$6)</f>
        <v>0</v>
      </c>
      <c r="L9" s="11">
        <f>COUNTIF(考勤表!$D7:$AG7,L$6)</f>
        <v>0</v>
      </c>
      <c r="M9" s="11">
        <f t="shared" si="0"/>
        <v>50</v>
      </c>
      <c r="N9" s="11">
        <f t="shared" si="1"/>
        <v>0</v>
      </c>
      <c r="O9" s="50">
        <f t="shared" si="2"/>
        <v>50</v>
      </c>
      <c r="P9" s="49">
        <f t="array" ref="P9">IF(AND(D9:L9=0),200,0)</f>
        <v>0</v>
      </c>
    </row>
    <row r="10" spans="1:16">
      <c r="A10" s="52" t="str">
        <f>基本工资记录表!A6</f>
        <v>RQ_0004</v>
      </c>
      <c r="B10" s="52" t="str">
        <f>基本工资记录表!B6</f>
        <v>王赣超</v>
      </c>
      <c r="C10" s="10" t="str">
        <f>基本工资记录表!C6</f>
        <v>行销企划部</v>
      </c>
      <c r="D10" s="11">
        <f>COUNTIF(考勤表!$D8:$AG8,D$6)</f>
        <v>0</v>
      </c>
      <c r="E10" s="11">
        <f>COUNTIF(考勤表!$D8:$AG8,E$6)</f>
        <v>0</v>
      </c>
      <c r="F10" s="11">
        <f>COUNTIF(考勤表!$D8:$AG8,F$6)</f>
        <v>1</v>
      </c>
      <c r="G10" s="11">
        <f>COUNTIF(考勤表!$D8:$AG8,G$6)</f>
        <v>0</v>
      </c>
      <c r="H10" s="11">
        <f>COUNTIF(考勤表!$D8:$AG8,H$6)</f>
        <v>0</v>
      </c>
      <c r="I10" s="11">
        <f>COUNTIF(考勤表!$D8:$AG8,I$6)</f>
        <v>0</v>
      </c>
      <c r="J10" s="11">
        <f>COUNTIF(考勤表!$D8:$AG8,J$6)</f>
        <v>1</v>
      </c>
      <c r="K10" s="11">
        <f>COUNTIF(考勤表!$D8:$AG8,K$6)</f>
        <v>0</v>
      </c>
      <c r="L10" s="11">
        <f>COUNTIF(考勤表!$D8:$AG8,L$6)</f>
        <v>0</v>
      </c>
      <c r="M10" s="11">
        <f t="shared" si="0"/>
        <v>200</v>
      </c>
      <c r="N10" s="11">
        <f t="shared" si="1"/>
        <v>10</v>
      </c>
      <c r="O10" s="50">
        <f t="shared" si="2"/>
        <v>210</v>
      </c>
      <c r="P10" s="49">
        <f t="array" ref="P10">IF(AND(D10:L10=0),200,0)</f>
        <v>0</v>
      </c>
    </row>
    <row r="11" spans="1:16">
      <c r="A11" s="52" t="str">
        <f>基本工资记录表!A7</f>
        <v>RQ_0005</v>
      </c>
      <c r="B11" s="52" t="str">
        <f>基本工资记录表!B7</f>
        <v>张颖先</v>
      </c>
      <c r="C11" s="10" t="str">
        <f>基本工资记录表!C7</f>
        <v>财务部</v>
      </c>
      <c r="D11" s="11">
        <f>COUNTIF(考勤表!$D9:$AG9,D$6)</f>
        <v>0</v>
      </c>
      <c r="E11" s="11">
        <f>COUNTIF(考勤表!$D9:$AG9,E$6)</f>
        <v>0</v>
      </c>
      <c r="F11" s="11">
        <f>COUNTIF(考勤表!$D9:$AG9,F$6)</f>
        <v>0</v>
      </c>
      <c r="G11" s="11">
        <f>COUNTIF(考勤表!$D9:$AG9,G$6)</f>
        <v>0</v>
      </c>
      <c r="H11" s="11">
        <f>COUNTIF(考勤表!$D9:$AG9,H$6)</f>
        <v>0</v>
      </c>
      <c r="I11" s="11">
        <f>COUNTIF(考勤表!$D9:$AG9,I$6)</f>
        <v>0</v>
      </c>
      <c r="J11" s="11">
        <f>COUNTIF(考勤表!$D9:$AG9,J$6)</f>
        <v>0</v>
      </c>
      <c r="K11" s="11">
        <f>COUNTIF(考勤表!$D9:$AG9,K$6)</f>
        <v>0</v>
      </c>
      <c r="L11" s="11">
        <f>COUNTIF(考勤表!$D9:$AG9,L$6)</f>
        <v>0</v>
      </c>
      <c r="M11" s="11">
        <f t="shared" si="0"/>
        <v>0</v>
      </c>
      <c r="N11" s="11">
        <f t="shared" si="1"/>
        <v>0</v>
      </c>
      <c r="O11" s="50">
        <f t="shared" si="2"/>
        <v>0</v>
      </c>
      <c r="P11" s="49">
        <f t="array" ref="P11">IF(AND(D11:L11=0),200,0)</f>
        <v>200</v>
      </c>
    </row>
    <row r="12" spans="1:16">
      <c r="A12" s="52" t="str">
        <f>基本工资记录表!A8</f>
        <v>RQ_0006</v>
      </c>
      <c r="B12" s="52" t="str">
        <f>基本工资记录表!B8</f>
        <v>栗立</v>
      </c>
      <c r="C12" s="10" t="str">
        <f>基本工资记录表!C8</f>
        <v>销售部</v>
      </c>
      <c r="D12" s="11">
        <f>COUNTIF(考勤表!$D10:$AG10,D$6)</f>
        <v>10</v>
      </c>
      <c r="E12" s="11">
        <f>COUNTIF(考勤表!$D10:$AG10,E$6)</f>
        <v>0</v>
      </c>
      <c r="F12" s="11">
        <f>COUNTIF(考勤表!$D10:$AG10,F$6)</f>
        <v>0</v>
      </c>
      <c r="G12" s="11">
        <f>COUNTIF(考勤表!$D10:$AG10,G$6)</f>
        <v>0</v>
      </c>
      <c r="H12" s="11">
        <f>COUNTIF(考勤表!$D10:$AG10,H$6)</f>
        <v>0</v>
      </c>
      <c r="I12" s="11">
        <f>COUNTIF(考勤表!$D10:$AG10,I$6)</f>
        <v>0</v>
      </c>
      <c r="J12" s="11">
        <f>COUNTIF(考勤表!$D10:$AG10,J$6)</f>
        <v>0</v>
      </c>
      <c r="K12" s="11">
        <f>COUNTIF(考勤表!$D10:$AG10,K$6)</f>
        <v>1</v>
      </c>
      <c r="L12" s="11">
        <f>COUNTIF(考勤表!$D10:$AG10,L$6)</f>
        <v>0</v>
      </c>
      <c r="M12" s="11">
        <f t="shared" si="0"/>
        <v>300</v>
      </c>
      <c r="N12" s="11">
        <f t="shared" si="1"/>
        <v>30</v>
      </c>
      <c r="O12" s="50">
        <f t="shared" si="2"/>
        <v>330</v>
      </c>
      <c r="P12" s="49">
        <f t="array" ref="P12">IF(AND(D12:L12=0),200,0)</f>
        <v>0</v>
      </c>
    </row>
    <row r="13" spans="1:16">
      <c r="A13" s="52" t="str">
        <f>基本工资记录表!A9</f>
        <v>RQ_0007</v>
      </c>
      <c r="B13" s="52" t="str">
        <f>基本工资记录表!B9</f>
        <v>罗梦龙</v>
      </c>
      <c r="C13" s="10" t="str">
        <f>基本工资记录表!C9</f>
        <v>网络安全部</v>
      </c>
      <c r="D13" s="11">
        <f>COUNTIF(考勤表!$D11:$AG11,D$6)</f>
        <v>0</v>
      </c>
      <c r="E13" s="11">
        <f>COUNTIF(考勤表!$D11:$AG11,E$6)</f>
        <v>1</v>
      </c>
      <c r="F13" s="11">
        <f>COUNTIF(考勤表!$D11:$AG11,F$6)</f>
        <v>0</v>
      </c>
      <c r="G13" s="11">
        <f>COUNTIF(考勤表!$D11:$AG11,G$6)</f>
        <v>0</v>
      </c>
      <c r="H13" s="11">
        <f>COUNTIF(考勤表!$D11:$AG11,H$6)</f>
        <v>0</v>
      </c>
      <c r="I13" s="11">
        <f>COUNTIF(考勤表!$D11:$AG11,I$6)</f>
        <v>0</v>
      </c>
      <c r="J13" s="11">
        <f>COUNTIF(考勤表!$D11:$AG11,J$6)</f>
        <v>0</v>
      </c>
      <c r="K13" s="11">
        <f>COUNTIF(考勤表!$D11:$AG11,K$6)</f>
        <v>0</v>
      </c>
      <c r="L13" s="11">
        <f>COUNTIF(考勤表!$D11:$AG11,L$6)</f>
        <v>0</v>
      </c>
      <c r="M13" s="11">
        <f t="shared" si="0"/>
        <v>50</v>
      </c>
      <c r="N13" s="11">
        <f t="shared" si="1"/>
        <v>0</v>
      </c>
      <c r="O13" s="50">
        <f t="shared" si="2"/>
        <v>50</v>
      </c>
      <c r="P13" s="49">
        <f t="array" ref="P13">IF(AND(D13:L13=0),200,0)</f>
        <v>0</v>
      </c>
    </row>
    <row r="14" spans="1:16">
      <c r="A14" s="52" t="str">
        <f>基本工资记录表!A10</f>
        <v>RQ_0008</v>
      </c>
      <c r="B14" s="52" t="str">
        <f>基本工资记录表!B10</f>
        <v>胡晓峰</v>
      </c>
      <c r="C14" s="10" t="str">
        <f>基本工资记录表!C10</f>
        <v>服务部</v>
      </c>
      <c r="D14" s="11">
        <f>COUNTIF(考勤表!$D12:$AG12,D$6)</f>
        <v>0</v>
      </c>
      <c r="E14" s="11">
        <f>COUNTIF(考勤表!$D12:$AG12,E$6)</f>
        <v>1</v>
      </c>
      <c r="F14" s="11">
        <f>COUNTIF(考勤表!$D12:$AG12,F$6)</f>
        <v>0</v>
      </c>
      <c r="G14" s="11">
        <f>COUNTIF(考勤表!$D12:$AG12,G$6)</f>
        <v>5</v>
      </c>
      <c r="H14" s="11">
        <f>COUNTIF(考勤表!$D12:$AG12,H$6)</f>
        <v>0</v>
      </c>
      <c r="I14" s="11">
        <f>COUNTIF(考勤表!$D12:$AG12,I$6)</f>
        <v>0</v>
      </c>
      <c r="J14" s="11">
        <f>COUNTIF(考勤表!$D12:$AG12,J$6)</f>
        <v>0</v>
      </c>
      <c r="K14" s="11">
        <f>COUNTIF(考勤表!$D12:$AG12,K$6)</f>
        <v>1</v>
      </c>
      <c r="L14" s="11">
        <f>COUNTIF(考勤表!$D12:$AG12,L$6)</f>
        <v>0</v>
      </c>
      <c r="M14" s="11">
        <f t="shared" si="0"/>
        <v>50</v>
      </c>
      <c r="N14" s="11">
        <f t="shared" si="1"/>
        <v>30</v>
      </c>
      <c r="O14" s="50">
        <f t="shared" si="2"/>
        <v>80</v>
      </c>
      <c r="P14" s="49">
        <f t="array" ref="P14">IF(AND(D14:L14=0),200,0)</f>
        <v>0</v>
      </c>
    </row>
    <row r="15" spans="1:16">
      <c r="A15" s="52" t="str">
        <f>基本工资记录表!A11</f>
        <v>RQ_0009</v>
      </c>
      <c r="B15" s="52" t="str">
        <f>基本工资记录表!B11</f>
        <v>金昌硕</v>
      </c>
      <c r="C15" s="10" t="str">
        <f>基本工资记录表!C11</f>
        <v>销售部</v>
      </c>
      <c r="D15" s="11">
        <f>COUNTIF(考勤表!$D13:$AG13,D$6)</f>
        <v>0</v>
      </c>
      <c r="E15" s="11">
        <f>COUNTIF(考勤表!$D13:$AG13,E$6)</f>
        <v>0</v>
      </c>
      <c r="F15" s="11">
        <f>COUNTIF(考勤表!$D13:$AG13,F$6)</f>
        <v>0</v>
      </c>
      <c r="G15" s="11">
        <f>COUNTIF(考勤表!$D13:$AG13,G$6)</f>
        <v>0</v>
      </c>
      <c r="H15" s="11">
        <f>COUNTIF(考勤表!$D13:$AG13,H$6)</f>
        <v>0</v>
      </c>
      <c r="I15" s="11">
        <f>COUNTIF(考勤表!$D13:$AG13,I$6)</f>
        <v>0</v>
      </c>
      <c r="J15" s="11">
        <f>COUNTIF(考勤表!$D13:$AG13,J$6)</f>
        <v>0</v>
      </c>
      <c r="K15" s="11">
        <f>COUNTIF(考勤表!$D13:$AG13,K$6)</f>
        <v>0</v>
      </c>
      <c r="L15" s="11">
        <f>COUNTIF(考勤表!$D13:$AG13,L$6)</f>
        <v>0</v>
      </c>
      <c r="M15" s="11">
        <f t="shared" si="0"/>
        <v>0</v>
      </c>
      <c r="N15" s="11">
        <f t="shared" si="1"/>
        <v>0</v>
      </c>
      <c r="O15" s="50">
        <f t="shared" si="2"/>
        <v>0</v>
      </c>
      <c r="P15" s="49">
        <f t="array" ref="P15">IF(AND(D15:L15=0),200,0)</f>
        <v>200</v>
      </c>
    </row>
    <row r="16" spans="1:16">
      <c r="A16" s="52" t="str">
        <f>基本工资记录表!A12</f>
        <v>RQ_0010</v>
      </c>
      <c r="B16" s="52" t="str">
        <f>基本工资记录表!B12</f>
        <v>谢正平</v>
      </c>
      <c r="C16" s="10" t="str">
        <f>基本工资记录表!C12</f>
        <v>财务部</v>
      </c>
      <c r="D16" s="11">
        <f>COUNTIF(考勤表!$D14:$AG14,D$6)</f>
        <v>0</v>
      </c>
      <c r="E16" s="11">
        <f>COUNTIF(考勤表!$D14:$AG14,E$6)</f>
        <v>0</v>
      </c>
      <c r="F16" s="11">
        <f>COUNTIF(考勤表!$D14:$AG14,F$6)</f>
        <v>0</v>
      </c>
      <c r="G16" s="11">
        <f>COUNTIF(考勤表!$D14:$AG14,G$6)</f>
        <v>0</v>
      </c>
      <c r="H16" s="11">
        <f>COUNTIF(考勤表!$D14:$AG14,H$6)</f>
        <v>0</v>
      </c>
      <c r="I16" s="11">
        <f>COUNTIF(考勤表!$D14:$AG14,I$6)</f>
        <v>0</v>
      </c>
      <c r="J16" s="11">
        <f>COUNTIF(考勤表!$D14:$AG14,J$6)</f>
        <v>0</v>
      </c>
      <c r="K16" s="11">
        <f>COUNTIF(考勤表!$D14:$AG14,K$6)</f>
        <v>0</v>
      </c>
      <c r="L16" s="11">
        <f>COUNTIF(考勤表!$D14:$AG14,L$6)</f>
        <v>0</v>
      </c>
      <c r="M16" s="11">
        <f t="shared" si="0"/>
        <v>0</v>
      </c>
      <c r="N16" s="11">
        <f t="shared" si="1"/>
        <v>0</v>
      </c>
      <c r="O16" s="50">
        <f t="shared" si="2"/>
        <v>0</v>
      </c>
      <c r="P16" s="49">
        <f t="array" ref="P16">IF(AND(D16:L16=0),200,0)</f>
        <v>200</v>
      </c>
    </row>
    <row r="17" spans="1:16">
      <c r="A17" s="52" t="str">
        <f>基本工资记录表!A13</f>
        <v>RQ_0011</v>
      </c>
      <c r="B17" s="52" t="str">
        <f>基本工资记录表!B13</f>
        <v>张哲</v>
      </c>
      <c r="C17" s="10" t="str">
        <f>基本工资记录表!C13</f>
        <v>销售部</v>
      </c>
      <c r="D17" s="11">
        <f>COUNTIF(考勤表!$D15:$AG15,D$6)</f>
        <v>1</v>
      </c>
      <c r="E17" s="11">
        <f>COUNTIF(考勤表!$D15:$AG15,E$6)</f>
        <v>1</v>
      </c>
      <c r="F17" s="11">
        <f>COUNTIF(考勤表!$D15:$AG15,F$6)</f>
        <v>0</v>
      </c>
      <c r="G17" s="11">
        <f>COUNTIF(考勤表!$D15:$AG15,G$6)</f>
        <v>0</v>
      </c>
      <c r="H17" s="11">
        <f>COUNTIF(考勤表!$D15:$AG15,H$6)</f>
        <v>0</v>
      </c>
      <c r="I17" s="11">
        <f>COUNTIF(考勤表!$D15:$AG15,I$6)</f>
        <v>0</v>
      </c>
      <c r="J17" s="11">
        <f>COUNTIF(考勤表!$D15:$AG15,J$6)</f>
        <v>1</v>
      </c>
      <c r="K17" s="11">
        <f>COUNTIF(考勤表!$D15:$AG15,K$6)</f>
        <v>0</v>
      </c>
      <c r="L17" s="11">
        <f>COUNTIF(考勤表!$D15:$AG15,L$6)</f>
        <v>0</v>
      </c>
      <c r="M17" s="11">
        <f t="shared" si="0"/>
        <v>80</v>
      </c>
      <c r="N17" s="11">
        <f t="shared" si="1"/>
        <v>10</v>
      </c>
      <c r="O17" s="50">
        <f t="shared" si="2"/>
        <v>90</v>
      </c>
      <c r="P17" s="49">
        <f t="array" ref="P17">IF(AND(D17:L17=0),200,0)</f>
        <v>0</v>
      </c>
    </row>
    <row r="18" spans="1:16">
      <c r="A18" s="52" t="str">
        <f>基本工资记录表!A14</f>
        <v>RQ_0012</v>
      </c>
      <c r="B18" s="52" t="str">
        <f>基本工资记录表!B14</f>
        <v>顾昊天</v>
      </c>
      <c r="C18" s="10" t="str">
        <f>基本工资记录表!C14</f>
        <v>服务部</v>
      </c>
      <c r="D18" s="11">
        <f>COUNTIF(考勤表!$D16:$AG16,D$6)</f>
        <v>0</v>
      </c>
      <c r="E18" s="11">
        <f>COUNTIF(考勤表!$D16:$AG16,E$6)</f>
        <v>0</v>
      </c>
      <c r="F18" s="11">
        <f>COUNTIF(考勤表!$D16:$AG16,F$6)</f>
        <v>0</v>
      </c>
      <c r="G18" s="11">
        <f>COUNTIF(考勤表!$D16:$AG16,G$6)</f>
        <v>0</v>
      </c>
      <c r="H18" s="11">
        <f>COUNTIF(考勤表!$D16:$AG16,H$6)</f>
        <v>0</v>
      </c>
      <c r="I18" s="11">
        <f>COUNTIF(考勤表!$D16:$AG16,I$6)</f>
        <v>0</v>
      </c>
      <c r="J18" s="11">
        <f>COUNTIF(考勤表!$D16:$AG16,J$6)</f>
        <v>1</v>
      </c>
      <c r="K18" s="11">
        <f>COUNTIF(考勤表!$D16:$AG16,K$6)</f>
        <v>1</v>
      </c>
      <c r="L18" s="11">
        <f>COUNTIF(考勤表!$D16:$AG16,L$6)</f>
        <v>1</v>
      </c>
      <c r="M18" s="11">
        <f t="shared" si="0"/>
        <v>0</v>
      </c>
      <c r="N18" s="11">
        <f t="shared" si="1"/>
        <v>140</v>
      </c>
      <c r="O18" s="50">
        <f t="shared" si="2"/>
        <v>140</v>
      </c>
      <c r="P18" s="49">
        <f t="array" ref="P18">IF(AND(D18:L18=0),200,0)</f>
        <v>0</v>
      </c>
    </row>
    <row r="19" spans="1:16">
      <c r="A19" s="52" t="str">
        <f>基本工资记录表!A15</f>
        <v>RQ_0013</v>
      </c>
      <c r="B19" s="52" t="str">
        <f>基本工资记录表!B15</f>
        <v>吴圣仁</v>
      </c>
      <c r="C19" s="10" t="str">
        <f>基本工资记录表!C15</f>
        <v>人事部</v>
      </c>
      <c r="D19" s="11">
        <f>COUNTIF(考勤表!$D17:$AG17,D$6)</f>
        <v>0</v>
      </c>
      <c r="E19" s="11">
        <f>COUNTIF(考勤表!$D17:$AG17,E$6)</f>
        <v>1</v>
      </c>
      <c r="F19" s="11">
        <f>COUNTIF(考勤表!$D17:$AG17,F$6)</f>
        <v>0</v>
      </c>
      <c r="G19" s="11">
        <f>COUNTIF(考勤表!$D17:$AG17,G$6)</f>
        <v>0</v>
      </c>
      <c r="H19" s="11">
        <f>COUNTIF(考勤表!$D17:$AG17,H$6)</f>
        <v>0</v>
      </c>
      <c r="I19" s="11">
        <f>COUNTIF(考勤表!$D17:$AG17,I$6)</f>
        <v>0</v>
      </c>
      <c r="J19" s="11">
        <f>COUNTIF(考勤表!$D17:$AG17,J$6)</f>
        <v>0</v>
      </c>
      <c r="K19" s="11">
        <f>COUNTIF(考勤表!$D17:$AG17,K$6)</f>
        <v>0</v>
      </c>
      <c r="L19" s="11">
        <f>COUNTIF(考勤表!$D17:$AG17,L$6)</f>
        <v>0</v>
      </c>
      <c r="M19" s="11">
        <f t="shared" si="0"/>
        <v>50</v>
      </c>
      <c r="N19" s="11">
        <f t="shared" si="1"/>
        <v>0</v>
      </c>
      <c r="O19" s="50">
        <f t="shared" si="2"/>
        <v>50</v>
      </c>
      <c r="P19" s="49">
        <f t="array" ref="P19">IF(AND(D19:L19=0),200,0)</f>
        <v>0</v>
      </c>
    </row>
    <row r="20" spans="1:16">
      <c r="A20" s="52" t="str">
        <f>基本工资记录表!A16</f>
        <v>RQ_0014</v>
      </c>
      <c r="B20" s="52" t="str">
        <f>基本工资记录表!B16</f>
        <v>刘洋</v>
      </c>
      <c r="C20" s="10" t="str">
        <f>基本工资记录表!C16</f>
        <v>人事部</v>
      </c>
      <c r="D20" s="11">
        <f>COUNTIF(考勤表!$D18:$AG18,D$6)</f>
        <v>1</v>
      </c>
      <c r="E20" s="11">
        <f>COUNTIF(考勤表!$D18:$AG18,E$6)</f>
        <v>0</v>
      </c>
      <c r="F20" s="11">
        <f>COUNTIF(考勤表!$D18:$AG18,F$6)</f>
        <v>0</v>
      </c>
      <c r="G20" s="11">
        <f>COUNTIF(考勤表!$D18:$AG18,G$6)</f>
        <v>0</v>
      </c>
      <c r="H20" s="11">
        <f>COUNTIF(考勤表!$D18:$AG18,H$6)</f>
        <v>0</v>
      </c>
      <c r="I20" s="11">
        <f>COUNTIF(考勤表!$D18:$AG18,I$6)</f>
        <v>0</v>
      </c>
      <c r="J20" s="11">
        <f>COUNTIF(考勤表!$D18:$AG18,J$6)</f>
        <v>0</v>
      </c>
      <c r="K20" s="11">
        <f>COUNTIF(考勤表!$D18:$AG18,K$6)</f>
        <v>0</v>
      </c>
      <c r="L20" s="11">
        <f>COUNTIF(考勤表!$D18:$AG18,L$6)</f>
        <v>0</v>
      </c>
      <c r="M20" s="11">
        <f t="shared" si="0"/>
        <v>30</v>
      </c>
      <c r="N20" s="11">
        <f t="shared" si="1"/>
        <v>0</v>
      </c>
      <c r="O20" s="50">
        <f t="shared" si="2"/>
        <v>30</v>
      </c>
      <c r="P20" s="49">
        <f t="array" ref="P20">IF(AND(D20:L20=0),200,0)</f>
        <v>0</v>
      </c>
    </row>
    <row r="21" spans="1:16">
      <c r="A21" s="52" t="str">
        <f>基本工资记录表!A17</f>
        <v>RQ_0015</v>
      </c>
      <c r="B21" s="52" t="str">
        <f>基本工资记录表!B17</f>
        <v>周文超</v>
      </c>
      <c r="C21" s="10" t="str">
        <f>基本工资记录表!C17</f>
        <v>网络安全部</v>
      </c>
      <c r="D21" s="11">
        <f>COUNTIF(考勤表!$D19:$AG19,D$6)</f>
        <v>0</v>
      </c>
      <c r="E21" s="11">
        <f>COUNTIF(考勤表!$D19:$AG19,E$6)</f>
        <v>0</v>
      </c>
      <c r="F21" s="11">
        <f>COUNTIF(考勤表!$D19:$AG19,F$6)</f>
        <v>0</v>
      </c>
      <c r="G21" s="11">
        <f>COUNTIF(考勤表!$D19:$AG19,G$6)</f>
        <v>0</v>
      </c>
      <c r="H21" s="11">
        <f>COUNTIF(考勤表!$D19:$AG19,H$6)</f>
        <v>0</v>
      </c>
      <c r="I21" s="11">
        <f>COUNTIF(考勤表!$D19:$AG19,I$6)</f>
        <v>0</v>
      </c>
      <c r="J21" s="11">
        <f>COUNTIF(考勤表!$D19:$AG19,J$6)</f>
        <v>0</v>
      </c>
      <c r="K21" s="11">
        <f>COUNTIF(考勤表!$D19:$AG19,K$6)</f>
        <v>0</v>
      </c>
      <c r="L21" s="11">
        <f>COUNTIF(考勤表!$D19:$AG19,L$6)</f>
        <v>1</v>
      </c>
      <c r="M21" s="11">
        <f t="shared" si="0"/>
        <v>0</v>
      </c>
      <c r="N21" s="11">
        <f t="shared" si="1"/>
        <v>100</v>
      </c>
      <c r="O21" s="50">
        <f t="shared" si="2"/>
        <v>100</v>
      </c>
      <c r="P21" s="49">
        <f t="array" ref="P21">IF(AND(D21:L21=0),200,0)</f>
        <v>0</v>
      </c>
    </row>
    <row r="22" spans="1:16">
      <c r="A22" s="52" t="str">
        <f>基本工资记录表!A18</f>
        <v>RQ_0016</v>
      </c>
      <c r="B22" s="52" t="str">
        <f>基本工资记录表!B18</f>
        <v>冯亦梁</v>
      </c>
      <c r="C22" s="10" t="str">
        <f>基本工资记录表!C18</f>
        <v>销售部</v>
      </c>
      <c r="D22" s="11">
        <f>COUNTIF(考勤表!$D20:$AG20,D$6)</f>
        <v>2</v>
      </c>
      <c r="E22" s="11">
        <f>COUNTIF(考勤表!$D20:$AG20,E$6)</f>
        <v>1</v>
      </c>
      <c r="F22" s="11">
        <f>COUNTIF(考勤表!$D20:$AG20,F$6)</f>
        <v>0</v>
      </c>
      <c r="G22" s="11">
        <f>COUNTIF(考勤表!$D20:$AG20,G$6)</f>
        <v>0</v>
      </c>
      <c r="H22" s="11">
        <f>COUNTIF(考勤表!$D20:$AG20,H$6)</f>
        <v>0</v>
      </c>
      <c r="I22" s="11">
        <f>COUNTIF(考勤表!$D20:$AG20,I$6)</f>
        <v>0</v>
      </c>
      <c r="J22" s="11">
        <f>COUNTIF(考勤表!$D20:$AG20,J$6)</f>
        <v>0</v>
      </c>
      <c r="K22" s="11">
        <f>COUNTIF(考勤表!$D20:$AG20,K$6)</f>
        <v>0</v>
      </c>
      <c r="L22" s="11">
        <f>COUNTIF(考勤表!$D20:$AG20,L$6)</f>
        <v>0</v>
      </c>
      <c r="M22" s="11">
        <f t="shared" si="0"/>
        <v>110</v>
      </c>
      <c r="N22" s="11">
        <f t="shared" si="1"/>
        <v>0</v>
      </c>
      <c r="O22" s="50">
        <f t="shared" si="2"/>
        <v>110</v>
      </c>
      <c r="P22" s="49">
        <f t="array" ref="P22">IF(AND(D22:L22=0),200,0)</f>
        <v>0</v>
      </c>
    </row>
    <row r="23" spans="1:16">
      <c r="A23" s="52" t="str">
        <f>基本工资记录表!A19</f>
        <v>RQ_0017</v>
      </c>
      <c r="B23" s="52" t="str">
        <f>基本工资记录表!B19</f>
        <v>秦超</v>
      </c>
      <c r="C23" s="10" t="str">
        <f>基本工资记录表!C19</f>
        <v>服务部</v>
      </c>
      <c r="D23" s="11">
        <f>COUNTIF(考勤表!$D21:$AG21,D$6)</f>
        <v>0</v>
      </c>
      <c r="E23" s="11">
        <f>COUNTIF(考勤表!$D21:$AG21,E$6)</f>
        <v>0</v>
      </c>
      <c r="F23" s="11">
        <f>COUNTIF(考勤表!$D21:$AG21,F$6)</f>
        <v>0</v>
      </c>
      <c r="G23" s="11">
        <f>COUNTIF(考勤表!$D21:$AG21,G$6)</f>
        <v>0</v>
      </c>
      <c r="H23" s="11">
        <f>COUNTIF(考勤表!$D21:$AG21,H$6)</f>
        <v>0</v>
      </c>
      <c r="I23" s="11">
        <f>COUNTIF(考勤表!$D21:$AG21,I$6)</f>
        <v>0</v>
      </c>
      <c r="J23" s="11">
        <f>COUNTIF(考勤表!$D21:$AG21,J$6)</f>
        <v>0</v>
      </c>
      <c r="K23" s="11">
        <f>COUNTIF(考勤表!$D21:$AG21,K$6)</f>
        <v>0</v>
      </c>
      <c r="L23" s="11">
        <f>COUNTIF(考勤表!$D21:$AG21,L$6)</f>
        <v>0</v>
      </c>
      <c r="M23" s="11">
        <f t="shared" si="0"/>
        <v>0</v>
      </c>
      <c r="N23" s="11">
        <f t="shared" si="1"/>
        <v>0</v>
      </c>
      <c r="O23" s="50">
        <f t="shared" si="2"/>
        <v>0</v>
      </c>
      <c r="P23" s="49">
        <f t="array" ref="P23">IF(AND(D23:L23=0),200,0)</f>
        <v>200</v>
      </c>
    </row>
    <row r="24" spans="1:16">
      <c r="A24" s="52" t="str">
        <f>基本工资记录表!A20</f>
        <v>RQ_0018</v>
      </c>
      <c r="B24" s="52" t="str">
        <f>基本工资记录表!B20</f>
        <v>郑辰</v>
      </c>
      <c r="C24" s="10" t="str">
        <f>基本工资记录表!C20</f>
        <v>服务部</v>
      </c>
      <c r="D24" s="11">
        <f>COUNTIF(考勤表!$D22:$AG22,D$6)</f>
        <v>0</v>
      </c>
      <c r="E24" s="11">
        <f>COUNTIF(考勤表!$D22:$AG22,E$6)</f>
        <v>0</v>
      </c>
      <c r="F24" s="11">
        <f>COUNTIF(考勤表!$D22:$AG22,F$6)</f>
        <v>1</v>
      </c>
      <c r="G24" s="11">
        <f>COUNTIF(考勤表!$D22:$AG22,G$6)</f>
        <v>0</v>
      </c>
      <c r="H24" s="11">
        <f>COUNTIF(考勤表!$D22:$AG22,H$6)</f>
        <v>0</v>
      </c>
      <c r="I24" s="11">
        <f>COUNTIF(考勤表!$D22:$AG22,I$6)</f>
        <v>0</v>
      </c>
      <c r="J24" s="11">
        <f>COUNTIF(考勤表!$D22:$AG22,J$6)</f>
        <v>0</v>
      </c>
      <c r="K24" s="11">
        <f>COUNTIF(考勤表!$D22:$AG22,K$6)</f>
        <v>2</v>
      </c>
      <c r="L24" s="11">
        <f>COUNTIF(考勤表!$D22:$AG22,L$6)</f>
        <v>0</v>
      </c>
      <c r="M24" s="11">
        <f t="shared" si="0"/>
        <v>200</v>
      </c>
      <c r="N24" s="11">
        <f t="shared" si="1"/>
        <v>60</v>
      </c>
      <c r="O24" s="50">
        <f t="shared" si="2"/>
        <v>260</v>
      </c>
      <c r="P24" s="49">
        <f t="array" ref="P24">IF(AND(D24:L24=0),200,0)</f>
        <v>0</v>
      </c>
    </row>
    <row r="25" spans="1:16">
      <c r="A25" s="52" t="str">
        <f>基本工资记录表!A21</f>
        <v>RQ_0019</v>
      </c>
      <c r="B25" s="52" t="str">
        <f>基本工资记录表!B21</f>
        <v>吴文铮</v>
      </c>
      <c r="C25" s="10" t="str">
        <f>基本工资记录表!C21</f>
        <v>人事部</v>
      </c>
      <c r="D25" s="11">
        <f>COUNTIF(考勤表!$D23:$AG23,D$6)</f>
        <v>2</v>
      </c>
      <c r="E25" s="11">
        <f>COUNTIF(考勤表!$D23:$AG23,E$6)</f>
        <v>0</v>
      </c>
      <c r="F25" s="11">
        <f>COUNTIF(考勤表!$D23:$AG23,F$6)</f>
        <v>0</v>
      </c>
      <c r="G25" s="11">
        <f>COUNTIF(考勤表!$D23:$AG23,G$6)</f>
        <v>0</v>
      </c>
      <c r="H25" s="11">
        <f>COUNTIF(考勤表!$D23:$AG23,H$6)</f>
        <v>0</v>
      </c>
      <c r="I25" s="11">
        <f>COUNTIF(考勤表!$D23:$AG23,I$6)</f>
        <v>0</v>
      </c>
      <c r="J25" s="11">
        <f>COUNTIF(考勤表!$D23:$AG23,J$6)</f>
        <v>0</v>
      </c>
      <c r="K25" s="11">
        <f>COUNTIF(考勤表!$D23:$AG23,K$6)</f>
        <v>0</v>
      </c>
      <c r="L25" s="11">
        <f>COUNTIF(考勤表!$D23:$AG23,L$6)</f>
        <v>0</v>
      </c>
      <c r="M25" s="11">
        <f t="shared" si="0"/>
        <v>60</v>
      </c>
      <c r="N25" s="11">
        <f t="shared" si="1"/>
        <v>0</v>
      </c>
      <c r="O25" s="50">
        <f t="shared" si="2"/>
        <v>60</v>
      </c>
      <c r="P25" s="49">
        <f t="array" ref="P25">IF(AND(D25:L25=0),200,0)</f>
        <v>0</v>
      </c>
    </row>
    <row r="26" spans="1:16">
      <c r="A26" s="52" t="str">
        <f>基本工资记录表!A22</f>
        <v>RQ_0020</v>
      </c>
      <c r="B26" s="52" t="str">
        <f>基本工资记录表!B22</f>
        <v>史佳颖</v>
      </c>
      <c r="C26" s="10" t="str">
        <f>基本工资记录表!C22</f>
        <v>行销企划部</v>
      </c>
      <c r="D26" s="11">
        <f>COUNTIF(考勤表!$D24:$AG24,D$6)</f>
        <v>0</v>
      </c>
      <c r="E26" s="11">
        <f>COUNTIF(考勤表!$D24:$AG24,E$6)</f>
        <v>1</v>
      </c>
      <c r="F26" s="11">
        <f>COUNTIF(考勤表!$D24:$AG24,F$6)</f>
        <v>1</v>
      </c>
      <c r="G26" s="11">
        <f>COUNTIF(考勤表!$D24:$AG24,G$6)</f>
        <v>0</v>
      </c>
      <c r="H26" s="11">
        <f>COUNTIF(考勤表!$D24:$AG24,H$6)</f>
        <v>0</v>
      </c>
      <c r="I26" s="11">
        <f>COUNTIF(考勤表!$D24:$AG24,I$6)</f>
        <v>0</v>
      </c>
      <c r="J26" s="11">
        <f>COUNTIF(考勤表!$D24:$AG24,J$6)</f>
        <v>0</v>
      </c>
      <c r="K26" s="11">
        <f>COUNTIF(考勤表!$D24:$AG24,K$6)</f>
        <v>0</v>
      </c>
      <c r="L26" s="11">
        <f>COUNTIF(考勤表!$D24:$AG24,L$6)</f>
        <v>0</v>
      </c>
      <c r="M26" s="11">
        <f t="shared" si="0"/>
        <v>250</v>
      </c>
      <c r="N26" s="11">
        <f t="shared" si="1"/>
        <v>0</v>
      </c>
      <c r="O26" s="50">
        <f t="shared" si="2"/>
        <v>250</v>
      </c>
      <c r="P26" s="49">
        <f t="array" ref="P26">IF(AND(D26:L26=0),200,0)</f>
        <v>0</v>
      </c>
    </row>
    <row r="27" spans="1:16">
      <c r="A27" s="52" t="str">
        <f>基本工资记录表!A23</f>
        <v>RQ_0021</v>
      </c>
      <c r="B27" s="52" t="str">
        <f>基本工资记录表!B23</f>
        <v>方琛菲</v>
      </c>
      <c r="C27" s="10" t="str">
        <f>基本工资记录表!C23</f>
        <v>网络安全部</v>
      </c>
      <c r="D27" s="11">
        <f>COUNTIF(考勤表!$D25:$AG25,D$6)</f>
        <v>0</v>
      </c>
      <c r="E27" s="11">
        <f>COUNTIF(考勤表!$D25:$AG25,E$6)</f>
        <v>0</v>
      </c>
      <c r="F27" s="11">
        <f>COUNTIF(考勤表!$D25:$AG25,F$6)</f>
        <v>0</v>
      </c>
      <c r="G27" s="11">
        <f>COUNTIF(考勤表!$D25:$AG25,G$6)</f>
        <v>0</v>
      </c>
      <c r="H27" s="11">
        <f>COUNTIF(考勤表!$D25:$AG25,H$6)</f>
        <v>0</v>
      </c>
      <c r="I27" s="11">
        <f>COUNTIF(考勤表!$D25:$AG25,I$6)</f>
        <v>0</v>
      </c>
      <c r="J27" s="11">
        <f>COUNTIF(考勤表!$D25:$AG25,J$6)</f>
        <v>0</v>
      </c>
      <c r="K27" s="11">
        <f>COUNTIF(考勤表!$D25:$AG25,K$6)</f>
        <v>0</v>
      </c>
      <c r="L27" s="11">
        <f>COUNTIF(考勤表!$D25:$AG25,L$6)</f>
        <v>0</v>
      </c>
      <c r="M27" s="11">
        <f t="shared" si="0"/>
        <v>0</v>
      </c>
      <c r="N27" s="11">
        <f t="shared" si="1"/>
        <v>0</v>
      </c>
      <c r="O27" s="50">
        <f t="shared" si="2"/>
        <v>0</v>
      </c>
      <c r="P27" s="49">
        <f t="array" ref="P27">IF(AND(D27:L27=0),200,0)</f>
        <v>200</v>
      </c>
    </row>
    <row r="28" spans="1:16">
      <c r="A28" s="52" t="str">
        <f>基本工资记录表!A24</f>
        <v>RQ_0022</v>
      </c>
      <c r="B28" s="52" t="str">
        <f>基本工资记录表!B24</f>
        <v>谭风明</v>
      </c>
      <c r="C28" s="10" t="str">
        <f>基本工资记录表!C24</f>
        <v>销售部</v>
      </c>
      <c r="D28" s="11">
        <f>COUNTIF(考勤表!$D26:$AG26,D$6)</f>
        <v>1</v>
      </c>
      <c r="E28" s="11">
        <f>COUNTIF(考勤表!$D26:$AG26,E$6)</f>
        <v>0</v>
      </c>
      <c r="F28" s="11">
        <f>COUNTIF(考勤表!$D26:$AG26,F$6)</f>
        <v>0</v>
      </c>
      <c r="G28" s="11">
        <f>COUNTIF(考勤表!$D26:$AG26,G$6)</f>
        <v>0</v>
      </c>
      <c r="H28" s="11">
        <f>COUNTIF(考勤表!$D26:$AG26,H$6)</f>
        <v>0</v>
      </c>
      <c r="I28" s="11">
        <f>COUNTIF(考勤表!$D26:$AG26,I$6)</f>
        <v>0</v>
      </c>
      <c r="J28" s="11">
        <f>COUNTIF(考勤表!$D26:$AG26,J$6)</f>
        <v>2</v>
      </c>
      <c r="K28" s="11">
        <f>COUNTIF(考勤表!$D26:$AG26,K$6)</f>
        <v>0</v>
      </c>
      <c r="L28" s="11">
        <f>COUNTIF(考勤表!$D26:$AG26,L$6)</f>
        <v>0</v>
      </c>
      <c r="M28" s="11">
        <f t="shared" si="0"/>
        <v>30</v>
      </c>
      <c r="N28" s="11">
        <f t="shared" si="1"/>
        <v>20</v>
      </c>
      <c r="O28" s="50">
        <f t="shared" si="2"/>
        <v>50</v>
      </c>
      <c r="P28" s="49">
        <f t="array" ref="P28">IF(AND(D28:L28=0),200,0)</f>
        <v>0</v>
      </c>
    </row>
    <row r="29" spans="1:16" ht="15" thickBot="1">
      <c r="A29" s="53" t="str">
        <f>基本工资记录表!A25</f>
        <v>RQ_0023</v>
      </c>
      <c r="B29" s="52" t="str">
        <f>基本工资记录表!B25</f>
        <v>赵中华</v>
      </c>
      <c r="C29" s="51" t="str">
        <f>基本工资记录表!C25</f>
        <v>行销企划部</v>
      </c>
      <c r="D29" s="11">
        <f>COUNTIF(考勤表!$D27:$AG27,D$6)</f>
        <v>0</v>
      </c>
      <c r="E29" s="11">
        <f>COUNTIF(考勤表!$D27:$AG27,E$6)</f>
        <v>1</v>
      </c>
      <c r="F29" s="11">
        <f>COUNTIF(考勤表!$D27:$AG27,F$6)</f>
        <v>0</v>
      </c>
      <c r="G29" s="11">
        <f>COUNTIF(考勤表!$D27:$AG27,G$6)</f>
        <v>0</v>
      </c>
      <c r="H29" s="11">
        <f>COUNTIF(考勤表!$D27:$AG27,H$6)</f>
        <v>0</v>
      </c>
      <c r="I29" s="11">
        <f>COUNTIF(考勤表!$D27:$AG27,I$6)</f>
        <v>0</v>
      </c>
      <c r="J29" s="11">
        <f>COUNTIF(考勤表!$D27:$AG27,J$6)</f>
        <v>0</v>
      </c>
      <c r="K29" s="11">
        <f>COUNTIF(考勤表!$D27:$AG27,K$6)</f>
        <v>0</v>
      </c>
      <c r="L29" s="11">
        <f>COUNTIF(考勤表!$D27:$AG27,L$6)</f>
        <v>0</v>
      </c>
      <c r="M29" s="11">
        <f t="shared" si="0"/>
        <v>50</v>
      </c>
      <c r="N29" s="11">
        <f t="shared" si="1"/>
        <v>0</v>
      </c>
      <c r="O29" s="50">
        <f t="shared" si="2"/>
        <v>50</v>
      </c>
      <c r="P29" s="49">
        <f t="array" ref="P29">IF(AND(D29:L29=0),200,0)</f>
        <v>0</v>
      </c>
    </row>
    <row r="30" spans="1:16" ht="15" thickTop="1"/>
  </sheetData>
  <mergeCells count="6">
    <mergeCell ref="A1:P1"/>
    <mergeCell ref="A3:P3"/>
    <mergeCell ref="A5:C5"/>
    <mergeCell ref="D5:I5"/>
    <mergeCell ref="J5:L5"/>
    <mergeCell ref="M5:P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abSelected="1" topLeftCell="A22" workbookViewId="0">
      <selection activeCell="F5" sqref="F5"/>
    </sheetView>
  </sheetViews>
  <sheetFormatPr defaultRowHeight="14.4"/>
  <cols>
    <col min="5" max="5" width="6.109375" customWidth="1"/>
    <col min="6" max="6" width="6" customWidth="1"/>
    <col min="7" max="8" width="6.109375" customWidth="1"/>
  </cols>
  <sheetData>
    <row r="1" spans="1:9" ht="30" thickBot="1">
      <c r="A1" s="99" t="s">
        <v>123</v>
      </c>
      <c r="B1" s="99"/>
      <c r="C1" s="99"/>
      <c r="D1" s="99"/>
      <c r="E1" s="99"/>
      <c r="F1" s="99"/>
      <c r="G1" s="99"/>
      <c r="H1" s="99"/>
    </row>
    <row r="2" spans="1:9" ht="33" thickTop="1">
      <c r="A2" s="16" t="s">
        <v>108</v>
      </c>
      <c r="B2" s="15" t="s">
        <v>107</v>
      </c>
      <c r="C2" s="15" t="s">
        <v>106</v>
      </c>
      <c r="D2" s="15" t="s">
        <v>122</v>
      </c>
      <c r="E2" s="15" t="s">
        <v>121</v>
      </c>
      <c r="F2" s="15" t="s">
        <v>120</v>
      </c>
      <c r="G2" s="15" t="s">
        <v>119</v>
      </c>
      <c r="H2" s="15" t="s">
        <v>118</v>
      </c>
      <c r="I2" s="14" t="s">
        <v>117</v>
      </c>
    </row>
    <row r="3" spans="1:9">
      <c r="A3" s="12" t="str">
        <f>基本工资记录表!A3</f>
        <v>RQ_0001</v>
      </c>
      <c r="B3" s="13" t="str">
        <f>基本工资记录表!B3</f>
        <v>黄昕恺</v>
      </c>
      <c r="C3" s="13" t="str">
        <f>基本工资记录表!C3</f>
        <v>财务部</v>
      </c>
      <c r="D3" s="13" t="str">
        <f>基本工资记录表!D3</f>
        <v>总监</v>
      </c>
      <c r="E3" s="61">
        <f t="shared" ref="E3:E25" si="0">IF(D3="总监",600,IF(D3="经理",400,300))</f>
        <v>600</v>
      </c>
      <c r="F3" s="61">
        <f t="shared" ref="F3:F25" si="1">IF(D3="总监",400,IF(D3="经理",260,150))</f>
        <v>400</v>
      </c>
      <c r="G3" s="61">
        <f t="shared" ref="G3:G25" si="2">IF(D3="总监",200,IF(D3="经理",150,80))</f>
        <v>200</v>
      </c>
      <c r="H3" s="61">
        <f t="shared" ref="H3:H25" si="3">IF(D3="总监",150,IF(D3="经理",120,80))</f>
        <v>150</v>
      </c>
      <c r="I3" s="7">
        <f t="shared" ref="I3:I25" si="4">SUM(E3:H3)</f>
        <v>1350</v>
      </c>
    </row>
    <row r="4" spans="1:9">
      <c r="A4" s="12" t="str">
        <f>基本工资记录表!A4</f>
        <v>RQ_0002</v>
      </c>
      <c r="B4" s="13" t="str">
        <f>基本工资记录表!B4</f>
        <v>陈佳栋</v>
      </c>
      <c r="C4" s="13" t="str">
        <f>基本工资记录表!C4</f>
        <v>销售部</v>
      </c>
      <c r="D4" s="13" t="str">
        <f>基本工资记录表!D4</f>
        <v>职员</v>
      </c>
      <c r="E4" s="61">
        <f t="shared" si="0"/>
        <v>300</v>
      </c>
      <c r="F4" s="61">
        <f t="shared" si="1"/>
        <v>150</v>
      </c>
      <c r="G4" s="61">
        <f t="shared" si="2"/>
        <v>80</v>
      </c>
      <c r="H4" s="61">
        <f t="shared" si="3"/>
        <v>80</v>
      </c>
      <c r="I4" s="7">
        <f t="shared" si="4"/>
        <v>610</v>
      </c>
    </row>
    <row r="5" spans="1:9">
      <c r="A5" s="12" t="str">
        <f>基本工资记录表!A5</f>
        <v>RQ_0003</v>
      </c>
      <c r="B5" s="13" t="str">
        <f>基本工资记录表!B5</f>
        <v>黄炫龙</v>
      </c>
      <c r="C5" s="13" t="str">
        <f>基本工资记录表!C5</f>
        <v>行销企划部</v>
      </c>
      <c r="D5" s="13" t="str">
        <f>基本工资记录表!D5</f>
        <v>职员</v>
      </c>
      <c r="E5" s="61">
        <f t="shared" si="0"/>
        <v>300</v>
      </c>
      <c r="F5" s="61">
        <f t="shared" si="1"/>
        <v>150</v>
      </c>
      <c r="G5" s="61">
        <f t="shared" si="2"/>
        <v>80</v>
      </c>
      <c r="H5" s="61">
        <f t="shared" si="3"/>
        <v>80</v>
      </c>
      <c r="I5" s="7">
        <f t="shared" si="4"/>
        <v>610</v>
      </c>
    </row>
    <row r="6" spans="1:9">
      <c r="A6" s="12" t="str">
        <f>基本工资记录表!A6</f>
        <v>RQ_0004</v>
      </c>
      <c r="B6" s="13" t="str">
        <f>基本工资记录表!B6</f>
        <v>王赣超</v>
      </c>
      <c r="C6" s="13" t="str">
        <f>基本工资记录表!C6</f>
        <v>行销企划部</v>
      </c>
      <c r="D6" s="13" t="str">
        <f>基本工资记录表!D6</f>
        <v>经理</v>
      </c>
      <c r="E6" s="61">
        <f t="shared" si="0"/>
        <v>400</v>
      </c>
      <c r="F6" s="61">
        <f t="shared" si="1"/>
        <v>260</v>
      </c>
      <c r="G6" s="61">
        <f t="shared" si="2"/>
        <v>150</v>
      </c>
      <c r="H6" s="61">
        <f t="shared" si="3"/>
        <v>120</v>
      </c>
      <c r="I6" s="7">
        <f t="shared" si="4"/>
        <v>930</v>
      </c>
    </row>
    <row r="7" spans="1:9">
      <c r="A7" s="12" t="str">
        <f>基本工资记录表!A7</f>
        <v>RQ_0005</v>
      </c>
      <c r="B7" s="13" t="str">
        <f>基本工资记录表!B7</f>
        <v>张颖先</v>
      </c>
      <c r="C7" s="13" t="str">
        <f>基本工资记录表!C7</f>
        <v>财务部</v>
      </c>
      <c r="D7" s="13" t="str">
        <f>基本工资记录表!D7</f>
        <v>职员</v>
      </c>
      <c r="E7" s="61">
        <f t="shared" si="0"/>
        <v>300</v>
      </c>
      <c r="F7" s="61">
        <f t="shared" si="1"/>
        <v>150</v>
      </c>
      <c r="G7" s="61">
        <f t="shared" si="2"/>
        <v>80</v>
      </c>
      <c r="H7" s="61">
        <f t="shared" si="3"/>
        <v>80</v>
      </c>
      <c r="I7" s="7">
        <f t="shared" si="4"/>
        <v>610</v>
      </c>
    </row>
    <row r="8" spans="1:9">
      <c r="A8" s="12" t="str">
        <f>基本工资记录表!A8</f>
        <v>RQ_0006</v>
      </c>
      <c r="B8" s="13" t="str">
        <f>基本工资记录表!B8</f>
        <v>栗立</v>
      </c>
      <c r="C8" s="13" t="str">
        <f>基本工资记录表!C8</f>
        <v>销售部</v>
      </c>
      <c r="D8" s="13" t="str">
        <f>基本工资记录表!D8</f>
        <v>职员</v>
      </c>
      <c r="E8" s="61">
        <f t="shared" si="0"/>
        <v>300</v>
      </c>
      <c r="F8" s="61">
        <f t="shared" si="1"/>
        <v>150</v>
      </c>
      <c r="G8" s="61">
        <f t="shared" si="2"/>
        <v>80</v>
      </c>
      <c r="H8" s="61">
        <f t="shared" si="3"/>
        <v>80</v>
      </c>
      <c r="I8" s="7">
        <f t="shared" si="4"/>
        <v>610</v>
      </c>
    </row>
    <row r="9" spans="1:9">
      <c r="A9" s="12" t="str">
        <f>基本工资记录表!A9</f>
        <v>RQ_0007</v>
      </c>
      <c r="B9" s="13" t="str">
        <f>基本工资记录表!B9</f>
        <v>罗梦龙</v>
      </c>
      <c r="C9" s="13" t="str">
        <f>基本工资记录表!C9</f>
        <v>网络安全部</v>
      </c>
      <c r="D9" s="13" t="str">
        <f>基本工资记录表!D9</f>
        <v>经理</v>
      </c>
      <c r="E9" s="61">
        <f t="shared" si="0"/>
        <v>400</v>
      </c>
      <c r="F9" s="61">
        <f t="shared" si="1"/>
        <v>260</v>
      </c>
      <c r="G9" s="61">
        <f t="shared" si="2"/>
        <v>150</v>
      </c>
      <c r="H9" s="61">
        <f t="shared" si="3"/>
        <v>120</v>
      </c>
      <c r="I9" s="7">
        <f t="shared" si="4"/>
        <v>930</v>
      </c>
    </row>
    <row r="10" spans="1:9">
      <c r="A10" s="12" t="str">
        <f>基本工资记录表!A10</f>
        <v>RQ_0008</v>
      </c>
      <c r="B10" s="13" t="str">
        <f>基本工资记录表!B10</f>
        <v>胡晓峰</v>
      </c>
      <c r="C10" s="13" t="str">
        <f>基本工资记录表!C10</f>
        <v>服务部</v>
      </c>
      <c r="D10" s="13" t="str">
        <f>基本工资记录表!D10</f>
        <v>经理</v>
      </c>
      <c r="E10" s="61">
        <f t="shared" si="0"/>
        <v>400</v>
      </c>
      <c r="F10" s="61">
        <f t="shared" si="1"/>
        <v>260</v>
      </c>
      <c r="G10" s="61">
        <f t="shared" si="2"/>
        <v>150</v>
      </c>
      <c r="H10" s="61">
        <f t="shared" si="3"/>
        <v>120</v>
      </c>
      <c r="I10" s="7">
        <f t="shared" si="4"/>
        <v>930</v>
      </c>
    </row>
    <row r="11" spans="1:9">
      <c r="A11" s="12" t="str">
        <f>基本工资记录表!A11</f>
        <v>RQ_0009</v>
      </c>
      <c r="B11" s="13" t="str">
        <f>基本工资记录表!B11</f>
        <v>金昌硕</v>
      </c>
      <c r="C11" s="13" t="str">
        <f>基本工资记录表!C11</f>
        <v>销售部</v>
      </c>
      <c r="D11" s="13" t="str">
        <f>基本工资记录表!D11</f>
        <v>经理</v>
      </c>
      <c r="E11" s="61">
        <f t="shared" si="0"/>
        <v>400</v>
      </c>
      <c r="F11" s="61">
        <f t="shared" si="1"/>
        <v>260</v>
      </c>
      <c r="G11" s="61">
        <f t="shared" si="2"/>
        <v>150</v>
      </c>
      <c r="H11" s="61">
        <f t="shared" si="3"/>
        <v>120</v>
      </c>
      <c r="I11" s="7">
        <f t="shared" si="4"/>
        <v>930</v>
      </c>
    </row>
    <row r="12" spans="1:9">
      <c r="A12" s="12" t="str">
        <f>基本工资记录表!A12</f>
        <v>RQ_0010</v>
      </c>
      <c r="B12" s="13" t="str">
        <f>基本工资记录表!B12</f>
        <v>谢正平</v>
      </c>
      <c r="C12" s="13" t="str">
        <f>基本工资记录表!C12</f>
        <v>财务部</v>
      </c>
      <c r="D12" s="13" t="str">
        <f>基本工资记录表!D12</f>
        <v>职员</v>
      </c>
      <c r="E12" s="61">
        <f t="shared" si="0"/>
        <v>300</v>
      </c>
      <c r="F12" s="61">
        <f t="shared" si="1"/>
        <v>150</v>
      </c>
      <c r="G12" s="61">
        <f t="shared" si="2"/>
        <v>80</v>
      </c>
      <c r="H12" s="61">
        <f t="shared" si="3"/>
        <v>80</v>
      </c>
      <c r="I12" s="7">
        <f t="shared" si="4"/>
        <v>610</v>
      </c>
    </row>
    <row r="13" spans="1:9">
      <c r="A13" s="12" t="str">
        <f>基本工资记录表!A13</f>
        <v>RQ_0011</v>
      </c>
      <c r="B13" s="13" t="str">
        <f>基本工资记录表!B13</f>
        <v>张哲</v>
      </c>
      <c r="C13" s="13" t="str">
        <f>基本工资记录表!C13</f>
        <v>销售部</v>
      </c>
      <c r="D13" s="13" t="str">
        <f>基本工资记录表!D13</f>
        <v>职员</v>
      </c>
      <c r="E13" s="61">
        <f t="shared" si="0"/>
        <v>300</v>
      </c>
      <c r="F13" s="61">
        <f t="shared" si="1"/>
        <v>150</v>
      </c>
      <c r="G13" s="61">
        <f t="shared" si="2"/>
        <v>80</v>
      </c>
      <c r="H13" s="61">
        <f t="shared" si="3"/>
        <v>80</v>
      </c>
      <c r="I13" s="7">
        <f t="shared" si="4"/>
        <v>610</v>
      </c>
    </row>
    <row r="14" spans="1:9">
      <c r="A14" s="12" t="str">
        <f>基本工资记录表!A14</f>
        <v>RQ_0012</v>
      </c>
      <c r="B14" s="13" t="str">
        <f>基本工资记录表!B14</f>
        <v>顾昊天</v>
      </c>
      <c r="C14" s="13" t="str">
        <f>基本工资记录表!C14</f>
        <v>服务部</v>
      </c>
      <c r="D14" s="13" t="str">
        <f>基本工资记录表!D14</f>
        <v>职员</v>
      </c>
      <c r="E14" s="61">
        <f t="shared" si="0"/>
        <v>300</v>
      </c>
      <c r="F14" s="61">
        <f t="shared" si="1"/>
        <v>150</v>
      </c>
      <c r="G14" s="61">
        <f t="shared" si="2"/>
        <v>80</v>
      </c>
      <c r="H14" s="61">
        <f t="shared" si="3"/>
        <v>80</v>
      </c>
      <c r="I14" s="7">
        <f t="shared" si="4"/>
        <v>610</v>
      </c>
    </row>
    <row r="15" spans="1:9">
      <c r="A15" s="12" t="str">
        <f>基本工资记录表!A15</f>
        <v>RQ_0013</v>
      </c>
      <c r="B15" s="13" t="str">
        <f>基本工资记录表!B15</f>
        <v>吴圣仁</v>
      </c>
      <c r="C15" s="13" t="str">
        <f>基本工资记录表!C15</f>
        <v>人事部</v>
      </c>
      <c r="D15" s="13" t="str">
        <f>基本工资记录表!D15</f>
        <v>经理</v>
      </c>
      <c r="E15" s="61">
        <f t="shared" si="0"/>
        <v>400</v>
      </c>
      <c r="F15" s="61">
        <f t="shared" si="1"/>
        <v>260</v>
      </c>
      <c r="G15" s="61">
        <f t="shared" si="2"/>
        <v>150</v>
      </c>
      <c r="H15" s="61">
        <f t="shared" si="3"/>
        <v>120</v>
      </c>
      <c r="I15" s="7">
        <f t="shared" si="4"/>
        <v>930</v>
      </c>
    </row>
    <row r="16" spans="1:9">
      <c r="A16" s="12" t="str">
        <f>基本工资记录表!A16</f>
        <v>RQ_0014</v>
      </c>
      <c r="B16" s="13" t="str">
        <f>基本工资记录表!B16</f>
        <v>刘洋</v>
      </c>
      <c r="C16" s="13" t="str">
        <f>基本工资记录表!C16</f>
        <v>人事部</v>
      </c>
      <c r="D16" s="13" t="str">
        <f>基本工资记录表!D16</f>
        <v>职员</v>
      </c>
      <c r="E16" s="61">
        <f t="shared" si="0"/>
        <v>300</v>
      </c>
      <c r="F16" s="61">
        <f t="shared" si="1"/>
        <v>150</v>
      </c>
      <c r="G16" s="61">
        <f t="shared" si="2"/>
        <v>80</v>
      </c>
      <c r="H16" s="61">
        <f t="shared" si="3"/>
        <v>80</v>
      </c>
      <c r="I16" s="7">
        <f t="shared" si="4"/>
        <v>610</v>
      </c>
    </row>
    <row r="17" spans="1:9">
      <c r="A17" s="12" t="str">
        <f>基本工资记录表!A17</f>
        <v>RQ_0015</v>
      </c>
      <c r="B17" s="13" t="str">
        <f>基本工资记录表!B17</f>
        <v>周文超</v>
      </c>
      <c r="C17" s="13" t="str">
        <f>基本工资记录表!C17</f>
        <v>网络安全部</v>
      </c>
      <c r="D17" s="13" t="str">
        <f>基本工资记录表!D17</f>
        <v>职员</v>
      </c>
      <c r="E17" s="61">
        <f t="shared" si="0"/>
        <v>300</v>
      </c>
      <c r="F17" s="61">
        <f t="shared" si="1"/>
        <v>150</v>
      </c>
      <c r="G17" s="61">
        <f t="shared" si="2"/>
        <v>80</v>
      </c>
      <c r="H17" s="61">
        <f t="shared" si="3"/>
        <v>80</v>
      </c>
      <c r="I17" s="7">
        <f t="shared" si="4"/>
        <v>610</v>
      </c>
    </row>
    <row r="18" spans="1:9">
      <c r="A18" s="12" t="str">
        <f>基本工资记录表!A18</f>
        <v>RQ_0016</v>
      </c>
      <c r="B18" s="13" t="str">
        <f>基本工资记录表!B18</f>
        <v>冯亦梁</v>
      </c>
      <c r="C18" s="13" t="str">
        <f>基本工资记录表!C18</f>
        <v>销售部</v>
      </c>
      <c r="D18" s="13" t="str">
        <f>基本工资记录表!D18</f>
        <v>职员</v>
      </c>
      <c r="E18" s="61">
        <f t="shared" si="0"/>
        <v>300</v>
      </c>
      <c r="F18" s="61">
        <f t="shared" si="1"/>
        <v>150</v>
      </c>
      <c r="G18" s="61">
        <f t="shared" si="2"/>
        <v>80</v>
      </c>
      <c r="H18" s="61">
        <f t="shared" si="3"/>
        <v>80</v>
      </c>
      <c r="I18" s="7">
        <f t="shared" si="4"/>
        <v>610</v>
      </c>
    </row>
    <row r="19" spans="1:9">
      <c r="A19" s="12" t="str">
        <f>基本工资记录表!A19</f>
        <v>RQ_0017</v>
      </c>
      <c r="B19" s="13" t="str">
        <f>基本工资记录表!B19</f>
        <v>秦超</v>
      </c>
      <c r="C19" s="13" t="str">
        <f>基本工资记录表!C19</f>
        <v>服务部</v>
      </c>
      <c r="D19" s="13" t="str">
        <f>基本工资记录表!D19</f>
        <v>职员</v>
      </c>
      <c r="E19" s="61">
        <f t="shared" si="0"/>
        <v>300</v>
      </c>
      <c r="F19" s="61">
        <f t="shared" si="1"/>
        <v>150</v>
      </c>
      <c r="G19" s="61">
        <f t="shared" si="2"/>
        <v>80</v>
      </c>
      <c r="H19" s="61">
        <f t="shared" si="3"/>
        <v>80</v>
      </c>
      <c r="I19" s="7">
        <f t="shared" si="4"/>
        <v>610</v>
      </c>
    </row>
    <row r="20" spans="1:9">
      <c r="A20" s="12" t="str">
        <f>基本工资记录表!A20</f>
        <v>RQ_0018</v>
      </c>
      <c r="B20" s="13" t="str">
        <f>基本工资记录表!B20</f>
        <v>郑辰</v>
      </c>
      <c r="C20" s="13" t="str">
        <f>基本工资记录表!C20</f>
        <v>服务部</v>
      </c>
      <c r="D20" s="13" t="str">
        <f>基本工资记录表!D20</f>
        <v>职员</v>
      </c>
      <c r="E20" s="61">
        <f t="shared" si="0"/>
        <v>300</v>
      </c>
      <c r="F20" s="61">
        <f t="shared" si="1"/>
        <v>150</v>
      </c>
      <c r="G20" s="61">
        <f t="shared" si="2"/>
        <v>80</v>
      </c>
      <c r="H20" s="61">
        <f t="shared" si="3"/>
        <v>80</v>
      </c>
      <c r="I20" s="7">
        <f t="shared" si="4"/>
        <v>610</v>
      </c>
    </row>
    <row r="21" spans="1:9">
      <c r="A21" s="12" t="str">
        <f>基本工资记录表!A21</f>
        <v>RQ_0019</v>
      </c>
      <c r="B21" s="13" t="str">
        <f>基本工资记录表!B21</f>
        <v>吴文铮</v>
      </c>
      <c r="C21" s="13" t="str">
        <f>基本工资记录表!C21</f>
        <v>人事部</v>
      </c>
      <c r="D21" s="13" t="str">
        <f>基本工资记录表!D21</f>
        <v>职员</v>
      </c>
      <c r="E21" s="61">
        <f t="shared" si="0"/>
        <v>300</v>
      </c>
      <c r="F21" s="61">
        <f t="shared" si="1"/>
        <v>150</v>
      </c>
      <c r="G21" s="61">
        <f t="shared" si="2"/>
        <v>80</v>
      </c>
      <c r="H21" s="61">
        <f t="shared" si="3"/>
        <v>80</v>
      </c>
      <c r="I21" s="7">
        <f t="shared" si="4"/>
        <v>610</v>
      </c>
    </row>
    <row r="22" spans="1:9">
      <c r="A22" s="12" t="str">
        <f>基本工资记录表!A22</f>
        <v>RQ_0020</v>
      </c>
      <c r="B22" s="13" t="str">
        <f>基本工资记录表!B22</f>
        <v>史佳颖</v>
      </c>
      <c r="C22" s="13" t="str">
        <f>基本工资记录表!C22</f>
        <v>行销企划部</v>
      </c>
      <c r="D22" s="13" t="str">
        <f>基本工资记录表!D22</f>
        <v>职员</v>
      </c>
      <c r="E22" s="61">
        <f t="shared" si="0"/>
        <v>300</v>
      </c>
      <c r="F22" s="61">
        <f t="shared" si="1"/>
        <v>150</v>
      </c>
      <c r="G22" s="61">
        <f t="shared" si="2"/>
        <v>80</v>
      </c>
      <c r="H22" s="61">
        <f t="shared" si="3"/>
        <v>80</v>
      </c>
      <c r="I22" s="7">
        <f t="shared" si="4"/>
        <v>610</v>
      </c>
    </row>
    <row r="23" spans="1:9">
      <c r="A23" s="12" t="str">
        <f>基本工资记录表!A23</f>
        <v>RQ_0021</v>
      </c>
      <c r="B23" s="13" t="str">
        <f>基本工资记录表!B23</f>
        <v>方琛菲</v>
      </c>
      <c r="C23" s="13" t="str">
        <f>基本工资记录表!C23</f>
        <v>网络安全部</v>
      </c>
      <c r="D23" s="13" t="str">
        <f>基本工资记录表!D23</f>
        <v>职员</v>
      </c>
      <c r="E23" s="61">
        <f t="shared" si="0"/>
        <v>300</v>
      </c>
      <c r="F23" s="61">
        <f t="shared" si="1"/>
        <v>150</v>
      </c>
      <c r="G23" s="61">
        <f t="shared" si="2"/>
        <v>80</v>
      </c>
      <c r="H23" s="61">
        <f t="shared" si="3"/>
        <v>80</v>
      </c>
      <c r="I23" s="7">
        <f t="shared" si="4"/>
        <v>610</v>
      </c>
    </row>
    <row r="24" spans="1:9">
      <c r="A24" s="12" t="str">
        <f>基本工资记录表!A24</f>
        <v>RQ_0022</v>
      </c>
      <c r="B24" s="13" t="str">
        <f>基本工资记录表!B24</f>
        <v>谭风明</v>
      </c>
      <c r="C24" s="13" t="str">
        <f>基本工资记录表!C24</f>
        <v>销售部</v>
      </c>
      <c r="D24" s="13" t="str">
        <f>基本工资记录表!D24</f>
        <v>职员</v>
      </c>
      <c r="E24" s="61">
        <f t="shared" si="0"/>
        <v>300</v>
      </c>
      <c r="F24" s="61">
        <f t="shared" si="1"/>
        <v>150</v>
      </c>
      <c r="G24" s="61">
        <f t="shared" si="2"/>
        <v>80</v>
      </c>
      <c r="H24" s="61">
        <f t="shared" si="3"/>
        <v>80</v>
      </c>
      <c r="I24" s="7">
        <f t="shared" si="4"/>
        <v>610</v>
      </c>
    </row>
    <row r="25" spans="1:9">
      <c r="A25" s="12" t="str">
        <f>基本工资记录表!A25</f>
        <v>RQ_0023</v>
      </c>
      <c r="B25" s="13" t="str">
        <f>基本工资记录表!B25</f>
        <v>赵中华</v>
      </c>
      <c r="C25" s="13" t="str">
        <f>基本工资记录表!C25</f>
        <v>行销企划部</v>
      </c>
      <c r="D25" s="13" t="str">
        <f>基本工资记录表!D25</f>
        <v>职员</v>
      </c>
      <c r="E25" s="61">
        <f t="shared" si="0"/>
        <v>300</v>
      </c>
      <c r="F25" s="61">
        <f t="shared" si="1"/>
        <v>150</v>
      </c>
      <c r="G25" s="61">
        <f t="shared" si="2"/>
        <v>80</v>
      </c>
      <c r="H25" s="61">
        <f t="shared" si="3"/>
        <v>80</v>
      </c>
      <c r="I25" s="7">
        <f t="shared" si="4"/>
        <v>610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>
      <selection activeCell="F5" sqref="F5"/>
    </sheetView>
  </sheetViews>
  <sheetFormatPr defaultRowHeight="14.4"/>
  <cols>
    <col min="1" max="1" width="15.109375" customWidth="1"/>
    <col min="2" max="2" width="23.6640625" customWidth="1"/>
  </cols>
  <sheetData>
    <row r="1" spans="1:5">
      <c r="A1" s="114" t="s">
        <v>141</v>
      </c>
      <c r="B1" s="115"/>
      <c r="C1" s="115"/>
      <c r="D1" s="115"/>
    </row>
    <row r="2" spans="1:5">
      <c r="A2" s="115"/>
      <c r="B2" s="115"/>
      <c r="C2" s="115"/>
      <c r="D2" s="115"/>
    </row>
    <row r="3" spans="1:5" ht="15" thickBot="1"/>
    <row r="4" spans="1:5" ht="17.399999999999999" thickTop="1" thickBot="1">
      <c r="A4" s="71" t="s">
        <v>140</v>
      </c>
      <c r="B4" s="70">
        <v>800</v>
      </c>
      <c r="C4" s="18"/>
      <c r="D4" s="18"/>
    </row>
    <row r="5" spans="1:5" ht="17.399999999999999" thickTop="1" thickBot="1">
      <c r="A5" s="65" t="s">
        <v>139</v>
      </c>
      <c r="B5" s="18" t="s">
        <v>138</v>
      </c>
      <c r="C5" s="18"/>
      <c r="D5" s="18"/>
    </row>
    <row r="6" spans="1:5" ht="17.399999999999999" thickTop="1" thickBot="1">
      <c r="A6" s="69" t="s">
        <v>137</v>
      </c>
      <c r="B6" s="18" t="s">
        <v>136</v>
      </c>
      <c r="C6" s="18" t="s">
        <v>135</v>
      </c>
      <c r="D6" s="18" t="s">
        <v>134</v>
      </c>
    </row>
    <row r="7" spans="1:5" ht="17.399999999999999" thickTop="1" thickBot="1">
      <c r="A7" s="65">
        <v>1</v>
      </c>
      <c r="B7" s="18" t="s">
        <v>133</v>
      </c>
      <c r="C7" s="64">
        <v>0.05</v>
      </c>
      <c r="D7" s="18">
        <v>0</v>
      </c>
      <c r="E7" s="68"/>
    </row>
    <row r="8" spans="1:5" ht="17.399999999999999" thickTop="1" thickBot="1">
      <c r="A8" s="65">
        <v>2</v>
      </c>
      <c r="B8" s="18" t="s">
        <v>132</v>
      </c>
      <c r="C8" s="18">
        <v>0.1</v>
      </c>
      <c r="D8" s="64">
        <v>25</v>
      </c>
    </row>
    <row r="9" spans="1:5" ht="17.399999999999999" thickTop="1" thickBot="1">
      <c r="A9" s="65">
        <v>3</v>
      </c>
      <c r="B9" s="18" t="s">
        <v>131</v>
      </c>
      <c r="C9" s="18">
        <v>0.15</v>
      </c>
      <c r="D9" s="64">
        <v>125</v>
      </c>
    </row>
    <row r="10" spans="1:5" ht="17.399999999999999" thickTop="1" thickBot="1">
      <c r="A10" s="65">
        <v>4</v>
      </c>
      <c r="B10" s="18" t="s">
        <v>130</v>
      </c>
      <c r="C10" s="18">
        <v>0.2</v>
      </c>
      <c r="D10" s="64">
        <v>375</v>
      </c>
    </row>
    <row r="11" spans="1:5" ht="17.399999999999999" thickTop="1" thickBot="1">
      <c r="A11" s="65">
        <v>5</v>
      </c>
      <c r="B11" t="s">
        <v>129</v>
      </c>
      <c r="C11" s="67">
        <v>0.25</v>
      </c>
      <c r="D11" s="64">
        <v>1375</v>
      </c>
    </row>
    <row r="12" spans="1:5" ht="17.399999999999999" thickTop="1" thickBot="1">
      <c r="A12" s="65">
        <v>6</v>
      </c>
      <c r="B12" s="66" t="s">
        <v>128</v>
      </c>
      <c r="C12" s="18">
        <v>0.3</v>
      </c>
      <c r="D12" s="64">
        <v>3375</v>
      </c>
    </row>
    <row r="13" spans="1:5" ht="17.399999999999999" thickTop="1" thickBot="1">
      <c r="A13" s="65">
        <v>7</v>
      </c>
      <c r="B13" s="66" t="s">
        <v>127</v>
      </c>
      <c r="C13" s="18">
        <v>0.35</v>
      </c>
      <c r="D13" s="64">
        <v>6375</v>
      </c>
    </row>
    <row r="14" spans="1:5" ht="17.399999999999999" thickTop="1" thickBot="1">
      <c r="A14" s="65">
        <v>8</v>
      </c>
      <c r="B14" s="66" t="s">
        <v>126</v>
      </c>
      <c r="C14" s="18">
        <v>0.4</v>
      </c>
      <c r="D14" s="64">
        <v>10375</v>
      </c>
    </row>
    <row r="15" spans="1:5" ht="17.399999999999999" thickTop="1" thickBot="1">
      <c r="A15" s="65">
        <v>9</v>
      </c>
      <c r="B15" s="62" t="s">
        <v>125</v>
      </c>
      <c r="C15" s="18">
        <v>0.45</v>
      </c>
      <c r="D15" s="64">
        <v>15375</v>
      </c>
    </row>
    <row r="16" spans="1:5" ht="15" thickTop="1">
      <c r="B16" s="63"/>
    </row>
    <row r="17" spans="1:2">
      <c r="A17" t="s">
        <v>124</v>
      </c>
      <c r="B17" s="63"/>
    </row>
    <row r="18" spans="1:2">
      <c r="B18" s="63"/>
    </row>
    <row r="19" spans="1:2">
      <c r="B19" s="63"/>
    </row>
    <row r="20" spans="1:2">
      <c r="B20" s="63"/>
    </row>
    <row r="21" spans="1:2">
      <c r="B21" s="63"/>
    </row>
    <row r="22" spans="1:2">
      <c r="B22" s="63"/>
    </row>
    <row r="23" spans="1:2">
      <c r="B23" s="63"/>
    </row>
    <row r="24" spans="1:2">
      <c r="B24" s="63"/>
    </row>
    <row r="25" spans="1:2">
      <c r="B25" s="63"/>
    </row>
    <row r="26" spans="1:2">
      <c r="B26" s="62"/>
    </row>
  </sheetData>
  <mergeCells count="1">
    <mergeCell ref="A1:D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6"/>
  <sheetViews>
    <sheetView showGridLines="0" workbookViewId="0">
      <selection activeCell="F5" sqref="F5"/>
    </sheetView>
  </sheetViews>
  <sheetFormatPr defaultRowHeight="14.4"/>
  <cols>
    <col min="1" max="1" width="6.33203125" customWidth="1"/>
    <col min="2" max="2" width="5.77734375" customWidth="1"/>
    <col min="3" max="3" width="9.44140625" customWidth="1"/>
    <col min="4" max="4" width="5.109375" customWidth="1"/>
    <col min="5" max="5" width="5.44140625" customWidth="1"/>
    <col min="6" max="6" width="5.33203125" customWidth="1"/>
    <col min="7" max="7" width="8.21875" customWidth="1"/>
    <col min="8" max="8" width="6.44140625" customWidth="1"/>
    <col min="9" max="9" width="5.6640625" customWidth="1"/>
    <col min="10" max="10" width="5.109375" customWidth="1"/>
    <col min="11" max="11" width="6.33203125" customWidth="1"/>
    <col min="12" max="13" width="7.109375" customWidth="1"/>
    <col min="14" max="14" width="5.77734375" customWidth="1"/>
    <col min="15" max="15" width="6.33203125" customWidth="1"/>
  </cols>
  <sheetData>
    <row r="1" spans="1:15" ht="28.5" customHeight="1">
      <c r="A1" s="116" t="s">
        <v>157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9.75" customHeight="1" thickBot="1"/>
    <row r="3" spans="1:15" ht="66" thickTop="1" thickBot="1">
      <c r="A3" s="81" t="s">
        <v>156</v>
      </c>
      <c r="B3" s="80" t="s">
        <v>155</v>
      </c>
      <c r="C3" s="80" t="s">
        <v>154</v>
      </c>
      <c r="D3" s="80" t="s">
        <v>153</v>
      </c>
      <c r="E3" s="80" t="s">
        <v>152</v>
      </c>
      <c r="F3" s="80" t="s">
        <v>151</v>
      </c>
      <c r="G3" s="80" t="s">
        <v>150</v>
      </c>
      <c r="H3" s="80" t="s">
        <v>149</v>
      </c>
      <c r="I3" s="80" t="s">
        <v>148</v>
      </c>
      <c r="J3" s="80" t="s">
        <v>147</v>
      </c>
      <c r="K3" s="80" t="s">
        <v>146</v>
      </c>
      <c r="L3" s="80" t="s">
        <v>145</v>
      </c>
      <c r="M3" s="80" t="s">
        <v>144</v>
      </c>
      <c r="N3" s="80" t="s">
        <v>143</v>
      </c>
      <c r="O3" s="79" t="s">
        <v>142</v>
      </c>
    </row>
    <row r="4" spans="1:15" ht="15.6" thickTop="1" thickBot="1">
      <c r="A4" s="12" t="str">
        <f>基本工资记录表!A3</f>
        <v>RQ_0001</v>
      </c>
      <c r="B4" s="75" t="str">
        <f>基本工资记录表!B3</f>
        <v>黄昕恺</v>
      </c>
      <c r="C4" s="75" t="str">
        <f>基本工资记录表!C3</f>
        <v>财务部</v>
      </c>
      <c r="D4" s="78">
        <f>基本工资记录表!G3</f>
        <v>1500</v>
      </c>
      <c r="E4" s="78">
        <f>基本工资记录表!H3</f>
        <v>1400</v>
      </c>
      <c r="F4" s="78">
        <f ca="1">基本工资记录表!I3</f>
        <v>1600</v>
      </c>
      <c r="G4" s="74" t="str">
        <f>IF(ISERROR(VLOOKUP(A4,'奖、罚款记录'!$A$4:$H$38,8,FALSE)),"",VLOOKUP(A4,'奖、罚款记录'!$A$4:$H$38,8))</f>
        <v/>
      </c>
      <c r="H4" s="74">
        <f>IF(C4="销售部",VLOOKUP(A4,'奖、罚款记录'!$A$4:$J$14,10),0)</f>
        <v>0</v>
      </c>
      <c r="I4" s="74">
        <f>VLOOKUP(A4,福利待遇表!$A$3:$I$25,9)</f>
        <v>1350</v>
      </c>
      <c r="J4" s="74">
        <f>VLOOKUP(A4,考勤扣款统计!$A$7:$P$50,16)</f>
        <v>200</v>
      </c>
      <c r="K4" s="77">
        <f t="shared" ref="K4:K26" ca="1" si="0">SUM(D4:J4)</f>
        <v>6050</v>
      </c>
      <c r="L4" s="74">
        <f>VLOOKUP(A4,考勤扣款统计!$A$7:$P$50,15)</f>
        <v>0</v>
      </c>
      <c r="M4" s="74">
        <f ca="1">IF(K4&lt;=800,ROUND((K4-1000)*所得税!$C$7,2),IF(K4&lt;=2000,ROUND(((K4-1000)*所得税!$C$8-25),2),IF(K4&lt;=5000,ROUND((K4-1000)*所得税!$C$9-125,2),IF(K4&lt;=20000,ROUND((K4-1000)*所得税!$C$10-375,2),IF(K4&lt;=40000,ROUND((K4-1000)*所得税!$C$11-1375,2),IF(K4&lt;=60000,ROUND((K4-1000)*所得税!$C$12-3375,2),IF(K4&lt;=80000,ROUND((K4-1000)*所得税!$C$13-6375,2),IF(K4&lt;=100000,ROUND((K4-1000)*所得税!$C$14-10375,2),ROUND((K4-1000)*所得税!$C$15-15375,2)))))))))</f>
        <v>635</v>
      </c>
      <c r="N4" s="77">
        <f t="shared" ref="N4:N26" ca="1" si="1">SUM(L4:M4)</f>
        <v>635</v>
      </c>
      <c r="O4" s="76">
        <f t="shared" ref="O4:O26" ca="1" si="2">K4-N4</f>
        <v>5415</v>
      </c>
    </row>
    <row r="5" spans="1:15" ht="15.6" thickTop="1" thickBot="1">
      <c r="A5" s="12" t="str">
        <f>基本工资记录表!A4</f>
        <v>RQ_0002</v>
      </c>
      <c r="B5" s="75" t="str">
        <f>基本工资记录表!B4</f>
        <v>陈佳栋</v>
      </c>
      <c r="C5" s="75" t="str">
        <f>基本工资记录表!C4</f>
        <v>销售部</v>
      </c>
      <c r="D5" s="75">
        <f>基本工资记录表!G4</f>
        <v>800</v>
      </c>
      <c r="E5" s="75">
        <f>基本工资记录表!H4</f>
        <v>100</v>
      </c>
      <c r="F5" s="75">
        <f ca="1">基本工资记录表!I4</f>
        <v>880</v>
      </c>
      <c r="G5" s="74">
        <f>IF(ISERROR(VLOOKUP(A5,'奖、罚款记录'!$A$4:$H$38,8,FALSE)),"",VLOOKUP(A5,'奖、罚款记录'!$A$4:$H$38,8))</f>
        <v>1250</v>
      </c>
      <c r="H5" s="74" t="str">
        <f>IF(C5="销售部",VLOOKUP(A5,'奖、罚款记录'!$A$4:$J$14,10),0)</f>
        <v/>
      </c>
      <c r="I5" s="74">
        <f>VLOOKUP(A5,福利待遇表!$A$3:$I$25,9)</f>
        <v>610</v>
      </c>
      <c r="J5" s="11">
        <f>VLOOKUP(A5,考勤扣款统计!$A$7:$P$50,16)</f>
        <v>0</v>
      </c>
      <c r="K5" s="73">
        <f t="shared" ca="1" si="0"/>
        <v>3640</v>
      </c>
      <c r="L5" s="11">
        <f>VLOOKUP(A5,考勤扣款统计!$A$7:$P$50,15)</f>
        <v>170</v>
      </c>
      <c r="M5" s="74">
        <f ca="1">IF(K5&lt;=800,ROUND((K5-1000)*所得税!$C$7,2),IF(K5&lt;=2000,ROUND(((K5-1000)*所得税!$C$8-25),2),IF(K5&lt;=5000,ROUND((K5-1000)*所得税!$C$9-125,2),IF(K5&lt;=20000,ROUND((K5-1000)*所得税!$C$10-375,2),IF(K5&lt;=40000,ROUND((K5-1000)*所得税!$C$11-1375,2),IF(K5&lt;=60000,ROUND((K5-1000)*所得税!$C$12-3375,2),IF(K5&lt;=80000,ROUND((K5-1000)*所得税!$C$13-6375,2),IF(K5&lt;=100000,ROUND((K5-1000)*所得税!$C$14-10375,2),ROUND((K5-1000)*所得税!$C$15-15375,2)))))))))</f>
        <v>271</v>
      </c>
      <c r="N5" s="73">
        <f t="shared" ca="1" si="1"/>
        <v>441</v>
      </c>
      <c r="O5" s="72">
        <f t="shared" ca="1" si="2"/>
        <v>3199</v>
      </c>
    </row>
    <row r="6" spans="1:15" ht="15.6" thickTop="1" thickBot="1">
      <c r="A6" s="12" t="str">
        <f>基本工资记录表!A5</f>
        <v>RQ_0003</v>
      </c>
      <c r="B6" s="75" t="str">
        <f>基本工资记录表!B5</f>
        <v>黄炫龙</v>
      </c>
      <c r="C6" s="75" t="str">
        <f>基本工资记录表!C5</f>
        <v>行销企划部</v>
      </c>
      <c r="D6" s="75">
        <f>基本工资记录表!G5</f>
        <v>1500</v>
      </c>
      <c r="E6" s="75">
        <f>基本工资记录表!H5</f>
        <v>200</v>
      </c>
      <c r="F6" s="75">
        <f ca="1">基本工资记录表!I5</f>
        <v>960</v>
      </c>
      <c r="G6" s="74">
        <f>IF(ISERROR(VLOOKUP(A6,'奖、罚款记录'!$A$4:$H$38,8,FALSE)),"",VLOOKUP(A6,'奖、罚款记录'!$A$4:$H$38,8,FALSE))</f>
        <v>500</v>
      </c>
      <c r="H6" s="74">
        <f>IF(C6="销售部",VLOOKUP(A6,'奖、罚款记录'!$A$4:$J$14,10),0)</f>
        <v>0</v>
      </c>
      <c r="I6" s="74">
        <f>VLOOKUP(A6,福利待遇表!$A$3:$I$25,9)</f>
        <v>610</v>
      </c>
      <c r="J6" s="11">
        <f>VLOOKUP(A6,考勤扣款统计!$A$7:$P$50,16)</f>
        <v>0</v>
      </c>
      <c r="K6" s="73">
        <f t="shared" ca="1" si="0"/>
        <v>3770</v>
      </c>
      <c r="L6" s="11">
        <f>VLOOKUP(A6,考勤扣款统计!$A$7:$P$50,15)</f>
        <v>50</v>
      </c>
      <c r="M6" s="74">
        <f ca="1">IF(K6&lt;=800,ROUND((K6-1000)*所得税!$C$7,2),IF(K6&lt;=2000,ROUND(((K6-1000)*所得税!$C$8-25),2),IF(K6&lt;=5000,ROUND((K6-1000)*所得税!$C$9-125,2),IF(K6&lt;=20000,ROUND((K6-1000)*所得税!$C$10-375,2),IF(K6&lt;=40000,ROUND((K6-1000)*所得税!$C$11-1375,2),IF(K6&lt;=60000,ROUND((K6-1000)*所得税!$C$12-3375,2),IF(K6&lt;=80000,ROUND((K6-1000)*所得税!$C$13-6375,2),IF(K6&lt;=100000,ROUND((K6-1000)*所得税!$C$14-10375,2),ROUND((K6-1000)*所得税!$C$15-15375,2)))))))))</f>
        <v>290.5</v>
      </c>
      <c r="N6" s="73">
        <f t="shared" ca="1" si="1"/>
        <v>340.5</v>
      </c>
      <c r="O6" s="72">
        <f t="shared" ca="1" si="2"/>
        <v>3429.5</v>
      </c>
    </row>
    <row r="7" spans="1:15" ht="15.6" thickTop="1" thickBot="1">
      <c r="A7" s="12" t="str">
        <f>基本工资记录表!A6</f>
        <v>RQ_0004</v>
      </c>
      <c r="B7" s="75" t="str">
        <f>基本工资记录表!B6</f>
        <v>王赣超</v>
      </c>
      <c r="C7" s="75" t="str">
        <f>基本工资记录表!C6</f>
        <v>行销企划部</v>
      </c>
      <c r="D7" s="75">
        <f>基本工资记录表!G6</f>
        <v>1500</v>
      </c>
      <c r="E7" s="75">
        <f>基本工资记录表!H6</f>
        <v>1400</v>
      </c>
      <c r="F7" s="75">
        <f ca="1">基本工资记录表!I6</f>
        <v>1600</v>
      </c>
      <c r="G7" s="74">
        <f>IF(ISERROR(VLOOKUP(A7,'奖、罚款记录'!$A$4:$H$38,8,FALSE)),"",VLOOKUP(A7,'奖、罚款记录'!$A$4:$H$38,8,FALSE))</f>
        <v>0</v>
      </c>
      <c r="H7" s="74">
        <f>IF(C7="销售部",VLOOKUP(A7,'奖、罚款记录'!$A$4:$J$14,10),0)</f>
        <v>0</v>
      </c>
      <c r="I7" s="74">
        <f>VLOOKUP(A7,福利待遇表!$A$3:$I$25,9)</f>
        <v>930</v>
      </c>
      <c r="J7" s="11">
        <f>VLOOKUP(A7,考勤扣款统计!$A$7:$P$50,16)</f>
        <v>0</v>
      </c>
      <c r="K7" s="73">
        <f t="shared" ca="1" si="0"/>
        <v>5430</v>
      </c>
      <c r="L7" s="11">
        <f>VLOOKUP(A7,考勤扣款统计!$A$7:$P$50,15)</f>
        <v>210</v>
      </c>
      <c r="M7" s="74">
        <f ca="1">IF(K7&lt;=800,ROUND((K7-1000)*所得税!$C$7,2),IF(K7&lt;=2000,ROUND(((K7-1000)*所得税!$C$8-25),2),IF(K7&lt;=5000,ROUND((K7-1000)*所得税!$C$9-125,2),IF(K7&lt;=20000,ROUND((K7-1000)*所得税!$C$10-375,2),IF(K7&lt;=40000,ROUND((K7-1000)*所得税!$C$11-1375,2),IF(K7&lt;=60000,ROUND((K7-1000)*所得税!$C$12-3375,2),IF(K7&lt;=80000,ROUND((K7-1000)*所得税!$C$13-6375,2),IF(K7&lt;=100000,ROUND((K7-1000)*所得税!$C$14-10375,2),ROUND((K7-1000)*所得税!$C$15-15375,2)))))))))</f>
        <v>511</v>
      </c>
      <c r="N7" s="73">
        <f t="shared" ca="1" si="1"/>
        <v>721</v>
      </c>
      <c r="O7" s="72">
        <f t="shared" ca="1" si="2"/>
        <v>4709</v>
      </c>
    </row>
    <row r="8" spans="1:15" ht="15.6" thickTop="1" thickBot="1">
      <c r="A8" s="12" t="str">
        <f>基本工资记录表!A7</f>
        <v>RQ_0005</v>
      </c>
      <c r="B8" s="75" t="str">
        <f>基本工资记录表!B7</f>
        <v>张颖先</v>
      </c>
      <c r="C8" s="75" t="str">
        <f>基本工资记录表!C7</f>
        <v>财务部</v>
      </c>
      <c r="D8" s="75">
        <f>基本工资记录表!G7</f>
        <v>1500</v>
      </c>
      <c r="E8" s="75">
        <f>基本工资记录表!H7</f>
        <v>200</v>
      </c>
      <c r="F8" s="75">
        <f ca="1">基本工资记录表!I7</f>
        <v>960</v>
      </c>
      <c r="G8" s="74" t="str">
        <f>IF(ISERROR(VLOOKUP(A8,'奖、罚款记录'!$A$4:$H$38,8,FALSE)),"",VLOOKUP(A8,'奖、罚款记录'!$A$4:$H$38,8,FALSE))</f>
        <v/>
      </c>
      <c r="H8" s="74">
        <f>IF(C8="销售部",VLOOKUP(A8,'奖、罚款记录'!$A$4:$J$14,10),0)</f>
        <v>0</v>
      </c>
      <c r="I8" s="74">
        <f>VLOOKUP(A8,福利待遇表!$A$3:$I$25,9)</f>
        <v>610</v>
      </c>
      <c r="J8" s="11">
        <f>VLOOKUP(A8,考勤扣款统计!$A$7:$P$50,16)</f>
        <v>200</v>
      </c>
      <c r="K8" s="73">
        <f t="shared" ca="1" si="0"/>
        <v>3470</v>
      </c>
      <c r="L8" s="11">
        <f>VLOOKUP(A8,考勤扣款统计!$A$7:$P$50,15)</f>
        <v>0</v>
      </c>
      <c r="M8" s="74">
        <f ca="1">IF(K8&lt;=800,ROUND((K8-1000)*所得税!$C$7,2),IF(K8&lt;=2000,ROUND(((K8-1000)*所得税!$C$8-25),2),IF(K8&lt;=5000,ROUND((K8-1000)*所得税!$C$9-125,2),IF(K8&lt;=20000,ROUND((K8-1000)*所得税!$C$10-375,2),IF(K8&lt;=40000,ROUND((K8-1000)*所得税!$C$11-1375,2),IF(K8&lt;=60000,ROUND((K8-1000)*所得税!$C$12-3375,2),IF(K8&lt;=80000,ROUND((K8-1000)*所得税!$C$13-6375,2),IF(K8&lt;=100000,ROUND((K8-1000)*所得税!$C$14-10375,2),ROUND((K8-1000)*所得税!$C$15-15375,2)))))))))</f>
        <v>245.5</v>
      </c>
      <c r="N8" s="73">
        <f t="shared" ca="1" si="1"/>
        <v>245.5</v>
      </c>
      <c r="O8" s="72">
        <f t="shared" ca="1" si="2"/>
        <v>3224.5</v>
      </c>
    </row>
    <row r="9" spans="1:15" ht="15.6" thickTop="1" thickBot="1">
      <c r="A9" s="12" t="str">
        <f>基本工资记录表!A8</f>
        <v>RQ_0006</v>
      </c>
      <c r="B9" s="75" t="str">
        <f>基本工资记录表!B8</f>
        <v>栗立</v>
      </c>
      <c r="C9" s="75" t="str">
        <f>基本工资记录表!C8</f>
        <v>销售部</v>
      </c>
      <c r="D9" s="75">
        <f>基本工资记录表!G8</f>
        <v>800</v>
      </c>
      <c r="E9" s="75">
        <f>基本工资记录表!H8</f>
        <v>100</v>
      </c>
      <c r="F9" s="75">
        <f ca="1">基本工资记录表!I8</f>
        <v>800</v>
      </c>
      <c r="G9" s="74">
        <f>IF(ISERROR(VLOOKUP(A9,'奖、罚款记录'!$A$4:$H$38,8,FALSE)),"",VLOOKUP(A9,'奖、罚款记录'!$A$4:$H$38,8,FALSE))</f>
        <v>4640</v>
      </c>
      <c r="H9" s="74" t="str">
        <f>IF(C9="销售部",VLOOKUP(A9,'奖、罚款记录'!$A$4:$J$14,10),0)</f>
        <v/>
      </c>
      <c r="I9" s="74">
        <f>VLOOKUP(A9,福利待遇表!$A$3:$I$25,9)</f>
        <v>610</v>
      </c>
      <c r="J9" s="11">
        <f>VLOOKUP(A9,考勤扣款统计!$A$7:$P$50,16)</f>
        <v>0</v>
      </c>
      <c r="K9" s="73">
        <f t="shared" ca="1" si="0"/>
        <v>6950</v>
      </c>
      <c r="L9" s="11">
        <f>VLOOKUP(A9,考勤扣款统计!$A$7:$P$50,15)</f>
        <v>330</v>
      </c>
      <c r="M9" s="74">
        <f ca="1">IF(K9&lt;=800,ROUND((K9-1000)*所得税!$C$7,2),IF(K9&lt;=2000,ROUND(((K9-1000)*所得税!$C$8-25),2),IF(K9&lt;=5000,ROUND((K9-1000)*所得税!$C$9-125,2),IF(K9&lt;=20000,ROUND((K9-1000)*所得税!$C$10-375,2),IF(K9&lt;=40000,ROUND((K9-1000)*所得税!$C$11-1375,2),IF(K9&lt;=60000,ROUND((K9-1000)*所得税!$C$12-3375,2),IF(K9&lt;=80000,ROUND((K9-1000)*所得税!$C$13-6375,2),IF(K9&lt;=100000,ROUND((K9-1000)*所得税!$C$14-10375,2),ROUND((K9-1000)*所得税!$C$15-15375,2)))))))))</f>
        <v>815</v>
      </c>
      <c r="N9" s="73">
        <f t="shared" ca="1" si="1"/>
        <v>1145</v>
      </c>
      <c r="O9" s="72">
        <f t="shared" ca="1" si="2"/>
        <v>5805</v>
      </c>
    </row>
    <row r="10" spans="1:15" ht="15.6" thickTop="1" thickBot="1">
      <c r="A10" s="12" t="str">
        <f>基本工资记录表!A9</f>
        <v>RQ_0007</v>
      </c>
      <c r="B10" s="75" t="str">
        <f>基本工资记录表!B9</f>
        <v>罗梦龙</v>
      </c>
      <c r="C10" s="75" t="str">
        <f>基本工资记录表!C9</f>
        <v>网络安全部</v>
      </c>
      <c r="D10" s="75">
        <f>基本工资记录表!G9</f>
        <v>2200</v>
      </c>
      <c r="E10" s="75">
        <f>基本工资记录表!H9</f>
        <v>2000</v>
      </c>
      <c r="F10" s="75">
        <f ca="1">基本工资记录表!I9</f>
        <v>1120</v>
      </c>
      <c r="G10" s="74">
        <f>IF(ISERROR(VLOOKUP(A10,'奖、罚款记录'!$A$4:$H$38,8,FALSE)),"",VLOOKUP(A10,'奖、罚款记录'!$A$4:$H$38,8,FALSE))</f>
        <v>200</v>
      </c>
      <c r="H10" s="74">
        <f>IF(C10="销售部",VLOOKUP(A10,'奖、罚款记录'!$A$4:$J$14,10),0)</f>
        <v>0</v>
      </c>
      <c r="I10" s="74">
        <f>VLOOKUP(A10,福利待遇表!$A$3:$I$25,9)</f>
        <v>930</v>
      </c>
      <c r="J10" s="11">
        <f>VLOOKUP(A10,考勤扣款统计!$A$7:$P$50,16)</f>
        <v>0</v>
      </c>
      <c r="K10" s="73">
        <f t="shared" ca="1" si="0"/>
        <v>6450</v>
      </c>
      <c r="L10" s="11">
        <f>VLOOKUP(A10,考勤扣款统计!$A$7:$P$50,15)</f>
        <v>50</v>
      </c>
      <c r="M10" s="74">
        <f ca="1">IF(K10&lt;=800,ROUND((K10-1000)*所得税!$C$7,2),IF(K10&lt;=2000,ROUND(((K10-1000)*所得税!$C$8-25),2),IF(K10&lt;=5000,ROUND((K10-1000)*所得税!$C$9-125,2),IF(K10&lt;=20000,ROUND((K10-1000)*所得税!$C$10-375,2),IF(K10&lt;=40000,ROUND((K10-1000)*所得税!$C$11-1375,2),IF(K10&lt;=60000,ROUND((K10-1000)*所得税!$C$12-3375,2),IF(K10&lt;=80000,ROUND((K10-1000)*所得税!$C$13-6375,2),IF(K10&lt;=100000,ROUND((K10-1000)*所得税!$C$14-10375,2),ROUND((K10-1000)*所得税!$C$15-15375,2)))))))))</f>
        <v>715</v>
      </c>
      <c r="N10" s="73">
        <f t="shared" ca="1" si="1"/>
        <v>765</v>
      </c>
      <c r="O10" s="72">
        <f t="shared" ca="1" si="2"/>
        <v>5685</v>
      </c>
    </row>
    <row r="11" spans="1:15" ht="15.6" thickTop="1" thickBot="1">
      <c r="A11" s="12" t="str">
        <f>基本工资记录表!A10</f>
        <v>RQ_0008</v>
      </c>
      <c r="B11" s="75" t="str">
        <f>基本工资记录表!B10</f>
        <v>胡晓峰</v>
      </c>
      <c r="C11" s="75" t="str">
        <f>基本工资记录表!C10</f>
        <v>服务部</v>
      </c>
      <c r="D11" s="75">
        <f>基本工资记录表!G10</f>
        <v>2000</v>
      </c>
      <c r="E11" s="75">
        <f>基本工资记录表!H10</f>
        <v>1400</v>
      </c>
      <c r="F11" s="75">
        <f ca="1">基本工资记录表!I10</f>
        <v>1680</v>
      </c>
      <c r="G11" s="74" t="str">
        <f>IF(ISERROR(VLOOKUP(A11,'奖、罚款记录'!$A$4:$H$38,8,FALSE)),"",VLOOKUP(A11,'奖、罚款记录'!$A$4:$H$38,8,FALSE))</f>
        <v/>
      </c>
      <c r="H11" s="74">
        <f>IF(C11="销售部",VLOOKUP(A11,'奖、罚款记录'!$A$4:$J$14,10),0)</f>
        <v>0</v>
      </c>
      <c r="I11" s="74">
        <f>VLOOKUP(A11,福利待遇表!$A$3:$I$25,9)</f>
        <v>930</v>
      </c>
      <c r="J11" s="11">
        <f>VLOOKUP(A11,考勤扣款统计!$A$7:$P$50,16)</f>
        <v>0</v>
      </c>
      <c r="K11" s="73">
        <f t="shared" ca="1" si="0"/>
        <v>6010</v>
      </c>
      <c r="L11" s="11">
        <f>VLOOKUP(A11,考勤扣款统计!$A$7:$P$50,15)</f>
        <v>80</v>
      </c>
      <c r="M11" s="74">
        <f ca="1">IF(K11&lt;=800,ROUND((K11-1000)*所得税!$C$7,2),IF(K11&lt;=2000,ROUND(((K11-1000)*所得税!$C$8-25),2),IF(K11&lt;=5000,ROUND((K11-1000)*所得税!$C$9-125,2),IF(K11&lt;=20000,ROUND((K11-1000)*所得税!$C$10-375,2),IF(K11&lt;=40000,ROUND((K11-1000)*所得税!$C$11-1375,2),IF(K11&lt;=60000,ROUND((K11-1000)*所得税!$C$12-3375,2),IF(K11&lt;=80000,ROUND((K11-1000)*所得税!$C$13-6375,2),IF(K11&lt;=100000,ROUND((K11-1000)*所得税!$C$14-10375,2),ROUND((K11-1000)*所得税!$C$15-15375,2)))))))))</f>
        <v>627</v>
      </c>
      <c r="N11" s="73">
        <f t="shared" ca="1" si="1"/>
        <v>707</v>
      </c>
      <c r="O11" s="72">
        <f t="shared" ca="1" si="2"/>
        <v>5303</v>
      </c>
    </row>
    <row r="12" spans="1:15" ht="15.6" thickTop="1" thickBot="1">
      <c r="A12" s="12" t="str">
        <f>基本工资记录表!A11</f>
        <v>RQ_0009</v>
      </c>
      <c r="B12" s="75" t="str">
        <f>基本工资记录表!B11</f>
        <v>金昌硕</v>
      </c>
      <c r="C12" s="75" t="str">
        <f>基本工资记录表!C11</f>
        <v>销售部</v>
      </c>
      <c r="D12" s="75">
        <f>基本工资记录表!G11</f>
        <v>800</v>
      </c>
      <c r="E12" s="75">
        <f>基本工资记录表!H11</f>
        <v>1400</v>
      </c>
      <c r="F12" s="75">
        <f ca="1">基本工资记录表!I11</f>
        <v>880</v>
      </c>
      <c r="G12" s="74">
        <f>IF(ISERROR(VLOOKUP(A12,'奖、罚款记录'!$A$4:$H$38,8,FALSE)),"",VLOOKUP(A12,'奖、罚款记录'!$A$4:$H$38,8,FALSE))</f>
        <v>6400</v>
      </c>
      <c r="H12" s="74" t="str">
        <f>IF(C12="销售部",VLOOKUP(A12,'奖、罚款记录'!$A$4:$J$14,10),0)</f>
        <v>800</v>
      </c>
      <c r="I12" s="74">
        <f>VLOOKUP(A12,福利待遇表!$A$3:$I$25,9)</f>
        <v>930</v>
      </c>
      <c r="J12" s="11">
        <f>VLOOKUP(A12,考勤扣款统计!$A$7:$P$50,16)</f>
        <v>200</v>
      </c>
      <c r="K12" s="73">
        <f t="shared" ca="1" si="0"/>
        <v>10610</v>
      </c>
      <c r="L12" s="11">
        <f>VLOOKUP(A12,考勤扣款统计!$A$7:$P$50,15)</f>
        <v>0</v>
      </c>
      <c r="M12" s="74">
        <f ca="1">IF(K12&lt;=800,ROUND((K12-1000)*所得税!$C$7,2),IF(K12&lt;=2000,ROUND(((K12-1000)*所得税!$C$8-25),2),IF(K12&lt;=5000,ROUND((K12-1000)*所得税!$C$9-125,2),IF(K12&lt;=20000,ROUND((K12-1000)*所得税!$C$10-375,2),IF(K12&lt;=40000,ROUND((K12-1000)*所得税!$C$11-1375,2),IF(K12&lt;=60000,ROUND((K12-1000)*所得税!$C$12-3375,2),IF(K12&lt;=80000,ROUND((K12-1000)*所得税!$C$13-6375,2),IF(K12&lt;=100000,ROUND((K12-1000)*所得税!$C$14-10375,2),ROUND((K12-1000)*所得税!$C$15-15375,2)))))))))</f>
        <v>1547</v>
      </c>
      <c r="N12" s="73">
        <f t="shared" ca="1" si="1"/>
        <v>1547</v>
      </c>
      <c r="O12" s="72">
        <f t="shared" ca="1" si="2"/>
        <v>9063</v>
      </c>
    </row>
    <row r="13" spans="1:15" ht="15.6" thickTop="1" thickBot="1">
      <c r="A13" s="12" t="str">
        <f>基本工资记录表!A12</f>
        <v>RQ_0010</v>
      </c>
      <c r="B13" s="75" t="str">
        <f>基本工资记录表!B12</f>
        <v>谢正平</v>
      </c>
      <c r="C13" s="75" t="str">
        <f>基本工资记录表!C12</f>
        <v>财务部</v>
      </c>
      <c r="D13" s="75">
        <f>基本工资记录表!G12</f>
        <v>1500</v>
      </c>
      <c r="E13" s="75">
        <f>基本工资记录表!H12</f>
        <v>200</v>
      </c>
      <c r="F13" s="75">
        <f ca="1">基本工资记录表!I12</f>
        <v>1440</v>
      </c>
      <c r="G13" s="74" t="str">
        <f>IF(ISERROR(VLOOKUP(A13,'奖、罚款记录'!$A$4:$H$38,8,FALSE)),"",VLOOKUP(A13,'奖、罚款记录'!$A$4:$H$38,8,FALSE))</f>
        <v/>
      </c>
      <c r="H13" s="74">
        <f>IF(C13="销售部",VLOOKUP(A13,'奖、罚款记录'!$A$4:$J$14,10),0)</f>
        <v>0</v>
      </c>
      <c r="I13" s="74">
        <f>VLOOKUP(A13,福利待遇表!$A$3:$I$25,9)</f>
        <v>610</v>
      </c>
      <c r="J13" s="11">
        <f>VLOOKUP(A13,考勤扣款统计!$A$7:$P$50,16)</f>
        <v>200</v>
      </c>
      <c r="K13" s="73">
        <f t="shared" ca="1" si="0"/>
        <v>3950</v>
      </c>
      <c r="L13" s="11">
        <f>VLOOKUP(A13,考勤扣款统计!$A$7:$P$50,15)</f>
        <v>0</v>
      </c>
      <c r="M13" s="74">
        <f ca="1">IF(K13&lt;=800,ROUND((K13-1000)*所得税!$C$7,2),IF(K13&lt;=2000,ROUND(((K13-1000)*所得税!$C$8-25),2),IF(K13&lt;=5000,ROUND((K13-1000)*所得税!$C$9-125,2),IF(K13&lt;=20000,ROUND((K13-1000)*所得税!$C$10-375,2),IF(K13&lt;=40000,ROUND((K13-1000)*所得税!$C$11-1375,2),IF(K13&lt;=60000,ROUND((K13-1000)*所得税!$C$12-3375,2),IF(K13&lt;=80000,ROUND((K13-1000)*所得税!$C$13-6375,2),IF(K13&lt;=100000,ROUND((K13-1000)*所得税!$C$14-10375,2),ROUND((K13-1000)*所得税!$C$15-15375,2)))))))))</f>
        <v>317.5</v>
      </c>
      <c r="N13" s="73">
        <f t="shared" ca="1" si="1"/>
        <v>317.5</v>
      </c>
      <c r="O13" s="72">
        <f t="shared" ca="1" si="2"/>
        <v>3632.5</v>
      </c>
    </row>
    <row r="14" spans="1:15" ht="15.6" thickTop="1" thickBot="1">
      <c r="A14" s="12" t="str">
        <f>基本工资记录表!A13</f>
        <v>RQ_0011</v>
      </c>
      <c r="B14" s="75" t="str">
        <f>基本工资记录表!B13</f>
        <v>张哲</v>
      </c>
      <c r="C14" s="75" t="str">
        <f>基本工资记录表!C13</f>
        <v>销售部</v>
      </c>
      <c r="D14" s="75">
        <f>基本工资记录表!G13</f>
        <v>800</v>
      </c>
      <c r="E14" s="75">
        <f>基本工资记录表!H13</f>
        <v>100</v>
      </c>
      <c r="F14" s="75">
        <f ca="1">基本工资记录表!I13</f>
        <v>800</v>
      </c>
      <c r="G14" s="74">
        <f>IF(ISERROR(VLOOKUP(A14,'奖、罚款记录'!$A$4:$H$38,8,FALSE)),"",VLOOKUP(A14,'奖、罚款记录'!$A$4:$H$38,8,FALSE))</f>
        <v>570</v>
      </c>
      <c r="H14" s="74" t="str">
        <f>IF(C14="销售部",VLOOKUP(A14,'奖、罚款记录'!$A$4:$J$14,10),0)</f>
        <v/>
      </c>
      <c r="I14" s="74">
        <f>VLOOKUP(A14,福利待遇表!$A$3:$I$25,9)</f>
        <v>610</v>
      </c>
      <c r="J14" s="11">
        <f>VLOOKUP(A14,考勤扣款统计!$A$7:$P$50,16)</f>
        <v>0</v>
      </c>
      <c r="K14" s="73">
        <f t="shared" ca="1" si="0"/>
        <v>2880</v>
      </c>
      <c r="L14" s="11">
        <f>VLOOKUP(A14,考勤扣款统计!$A$7:$P$50,15)</f>
        <v>90</v>
      </c>
      <c r="M14" s="74">
        <f ca="1">IF(K14&lt;=800,ROUND((K14-1000)*所得税!$C$7,2),IF(K14&lt;=2000,ROUND(((K14-1000)*所得税!$C$8-25),2),IF(K14&lt;=5000,ROUND((K14-1000)*所得税!$C$9-125,2),IF(K14&lt;=20000,ROUND((K14-1000)*所得税!$C$10-375,2),IF(K14&lt;=40000,ROUND((K14-1000)*所得税!$C$11-1375,2),IF(K14&lt;=60000,ROUND((K14-1000)*所得税!$C$12-3375,2),IF(K14&lt;=80000,ROUND((K14-1000)*所得税!$C$13-6375,2),IF(K14&lt;=100000,ROUND((K14-1000)*所得税!$C$14-10375,2),ROUND((K14-1000)*所得税!$C$15-15375,2)))))))))</f>
        <v>157</v>
      </c>
      <c r="N14" s="73">
        <f t="shared" ca="1" si="1"/>
        <v>247</v>
      </c>
      <c r="O14" s="72">
        <f t="shared" ca="1" si="2"/>
        <v>2633</v>
      </c>
    </row>
    <row r="15" spans="1:15" ht="15.6" thickTop="1" thickBot="1">
      <c r="A15" s="12" t="str">
        <f>基本工资记录表!A14</f>
        <v>RQ_0012</v>
      </c>
      <c r="B15" s="75" t="str">
        <f>基本工资记录表!B14</f>
        <v>顾昊天</v>
      </c>
      <c r="C15" s="75" t="str">
        <f>基本工资记录表!C14</f>
        <v>服务部</v>
      </c>
      <c r="D15" s="75">
        <f>基本工资记录表!G14</f>
        <v>2000</v>
      </c>
      <c r="E15" s="75">
        <f>基本工资记录表!H14</f>
        <v>280</v>
      </c>
      <c r="F15" s="75">
        <f ca="1">基本工资记录表!I14</f>
        <v>1280</v>
      </c>
      <c r="G15" s="74">
        <f>IF(ISERROR(VLOOKUP(A15,'奖、罚款记录'!$A$4:$H$38,8,FALSE)),"",VLOOKUP(A15,'奖、罚款记录'!$A$4:$H$38,8,FALSE))</f>
        <v>200</v>
      </c>
      <c r="H15" s="74">
        <f>IF(C15="销售部",VLOOKUP(A15,'奖、罚款记录'!$A$4:$J$14,10),0)</f>
        <v>0</v>
      </c>
      <c r="I15" s="74">
        <f>VLOOKUP(A15,福利待遇表!$A$3:$I$25,9)</f>
        <v>610</v>
      </c>
      <c r="J15" s="11">
        <f>VLOOKUP(A15,考勤扣款统计!$A$7:$P$50,16)</f>
        <v>0</v>
      </c>
      <c r="K15" s="73">
        <f t="shared" ca="1" si="0"/>
        <v>4370</v>
      </c>
      <c r="L15" s="11">
        <f>VLOOKUP(A15,考勤扣款统计!$A$7:$P$50,15)</f>
        <v>140</v>
      </c>
      <c r="M15" s="74">
        <f ca="1">IF(K15&lt;=800,ROUND((K15-1000)*所得税!$C$7,2),IF(K15&lt;=2000,ROUND(((K15-1000)*所得税!$C$8-25),2),IF(K15&lt;=5000,ROUND((K15-1000)*所得税!$C$9-125,2),IF(K15&lt;=20000,ROUND((K15-1000)*所得税!$C$10-375,2),IF(K15&lt;=40000,ROUND((K15-1000)*所得税!$C$11-1375,2),IF(K15&lt;=60000,ROUND((K15-1000)*所得税!$C$12-3375,2),IF(K15&lt;=80000,ROUND((K15-1000)*所得税!$C$13-6375,2),IF(K15&lt;=100000,ROUND((K15-1000)*所得税!$C$14-10375,2),ROUND((K15-1000)*所得税!$C$15-15375,2)))))))))</f>
        <v>380.5</v>
      </c>
      <c r="N15" s="73">
        <f t="shared" ca="1" si="1"/>
        <v>520.5</v>
      </c>
      <c r="O15" s="72">
        <f t="shared" ca="1" si="2"/>
        <v>3849.5</v>
      </c>
    </row>
    <row r="16" spans="1:15" ht="15.6" thickTop="1" thickBot="1">
      <c r="A16" s="12" t="str">
        <f>基本工资记录表!A15</f>
        <v>RQ_0013</v>
      </c>
      <c r="B16" s="75" t="str">
        <f>基本工资记录表!B15</f>
        <v>吴圣仁</v>
      </c>
      <c r="C16" s="75" t="str">
        <f>基本工资记录表!C15</f>
        <v>人事部</v>
      </c>
      <c r="D16" s="75">
        <f>基本工资记录表!G15</f>
        <v>1500</v>
      </c>
      <c r="E16" s="75">
        <f>基本工资记录表!H15</f>
        <v>1400</v>
      </c>
      <c r="F16" s="75">
        <f ca="1">基本工资记录表!I15</f>
        <v>1440</v>
      </c>
      <c r="G16" s="74" t="str">
        <f>IF(ISERROR(VLOOKUP(A16,'奖、罚款记录'!$A$4:$H$38,8,FALSE)),"",VLOOKUP(A16,'奖、罚款记录'!$A$4:$H$38,8,FALSE))</f>
        <v/>
      </c>
      <c r="H16" s="74">
        <f>IF(C16="销售部",VLOOKUP(A16,'奖、罚款记录'!$A$4:$J$14,10),0)</f>
        <v>0</v>
      </c>
      <c r="I16" s="74">
        <f>VLOOKUP(A16,福利待遇表!$A$3:$I$25,9)</f>
        <v>930</v>
      </c>
      <c r="J16" s="11">
        <f>VLOOKUP(A16,考勤扣款统计!$A$7:$P$50,16)</f>
        <v>0</v>
      </c>
      <c r="K16" s="73">
        <f t="shared" ca="1" si="0"/>
        <v>5270</v>
      </c>
      <c r="L16" s="11">
        <f>VLOOKUP(A16,考勤扣款统计!$A$7:$P$50,15)</f>
        <v>50</v>
      </c>
      <c r="M16" s="74">
        <f ca="1">IF(K16&lt;=800,ROUND((K16-1000)*所得税!$C$7,2),IF(K16&lt;=2000,ROUND(((K16-1000)*所得税!$C$8-25),2),IF(K16&lt;=5000,ROUND((K16-1000)*所得税!$C$9-125,2),IF(K16&lt;=20000,ROUND((K16-1000)*所得税!$C$10-375,2),IF(K16&lt;=40000,ROUND((K16-1000)*所得税!$C$11-1375,2),IF(K16&lt;=60000,ROUND((K16-1000)*所得税!$C$12-3375,2),IF(K16&lt;=80000,ROUND((K16-1000)*所得税!$C$13-6375,2),IF(K16&lt;=100000,ROUND((K16-1000)*所得税!$C$14-10375,2),ROUND((K16-1000)*所得税!$C$15-15375,2)))))))))</f>
        <v>479</v>
      </c>
      <c r="N16" s="73">
        <f t="shared" ca="1" si="1"/>
        <v>529</v>
      </c>
      <c r="O16" s="72">
        <f t="shared" ca="1" si="2"/>
        <v>4741</v>
      </c>
    </row>
    <row r="17" spans="1:15" ht="15.6" thickTop="1" thickBot="1">
      <c r="A17" s="12" t="str">
        <f>基本工资记录表!A16</f>
        <v>RQ_0014</v>
      </c>
      <c r="B17" s="75" t="str">
        <f>基本工资记录表!B16</f>
        <v>刘洋</v>
      </c>
      <c r="C17" s="75" t="str">
        <f>基本工资记录表!C16</f>
        <v>人事部</v>
      </c>
      <c r="D17" s="75">
        <f>基本工资记录表!G16</f>
        <v>1500</v>
      </c>
      <c r="E17" s="75">
        <f>基本工资记录表!H16</f>
        <v>200</v>
      </c>
      <c r="F17" s="75">
        <f ca="1">基本工资记录表!I16</f>
        <v>1120</v>
      </c>
      <c r="G17" s="74">
        <f>IF(ISERROR(VLOOKUP(A17,'奖、罚款记录'!$A$4:$H$38,8,FALSE)),"",VLOOKUP(A17,'奖、罚款记录'!$A$4:$H$38,8,FALSE))</f>
        <v>0</v>
      </c>
      <c r="H17" s="74">
        <f>IF(C17="销售部",VLOOKUP(A17,'奖、罚款记录'!$A$4:$J$14,10),0)</f>
        <v>0</v>
      </c>
      <c r="I17" s="74">
        <f>VLOOKUP(A17,福利待遇表!$A$3:$I$25,9)</f>
        <v>610</v>
      </c>
      <c r="J17" s="11">
        <f>VLOOKUP(A17,考勤扣款统计!$A$7:$P$50,16)</f>
        <v>0</v>
      </c>
      <c r="K17" s="73">
        <f t="shared" ca="1" si="0"/>
        <v>3430</v>
      </c>
      <c r="L17" s="11">
        <f>VLOOKUP(A17,考勤扣款统计!$A$7:$P$50,15)</f>
        <v>30</v>
      </c>
      <c r="M17" s="74">
        <f ca="1">IF(K17&lt;=800,ROUND((K17-1000)*所得税!$C$7,2),IF(K17&lt;=2000,ROUND(((K17-1000)*所得税!$C$8-25),2),IF(K17&lt;=5000,ROUND((K17-1000)*所得税!$C$9-125,2),IF(K17&lt;=20000,ROUND((K17-1000)*所得税!$C$10-375,2),IF(K17&lt;=40000,ROUND((K17-1000)*所得税!$C$11-1375,2),IF(K17&lt;=60000,ROUND((K17-1000)*所得税!$C$12-3375,2),IF(K17&lt;=80000,ROUND((K17-1000)*所得税!$C$13-6375,2),IF(K17&lt;=100000,ROUND((K17-1000)*所得税!$C$14-10375,2),ROUND((K17-1000)*所得税!$C$15-15375,2)))))))))</f>
        <v>239.5</v>
      </c>
      <c r="N17" s="73">
        <f t="shared" ca="1" si="1"/>
        <v>269.5</v>
      </c>
      <c r="O17" s="72">
        <f t="shared" ca="1" si="2"/>
        <v>3160.5</v>
      </c>
    </row>
    <row r="18" spans="1:15" ht="15.6" thickTop="1" thickBot="1">
      <c r="A18" s="12" t="str">
        <f>基本工资记录表!A17</f>
        <v>RQ_0015</v>
      </c>
      <c r="B18" s="75" t="str">
        <f>基本工资记录表!B17</f>
        <v>周文超</v>
      </c>
      <c r="C18" s="75" t="str">
        <f>基本工资记录表!C17</f>
        <v>网络安全部</v>
      </c>
      <c r="D18" s="75">
        <f>基本工资记录表!G17</f>
        <v>2200</v>
      </c>
      <c r="E18" s="75">
        <f>基本工资记录表!H17</f>
        <v>280</v>
      </c>
      <c r="F18" s="75">
        <f ca="1">基本工资记录表!I17</f>
        <v>1120</v>
      </c>
      <c r="G18" s="74" t="str">
        <f>IF(ISERROR(VLOOKUP(A18,'奖、罚款记录'!$A$4:$H$38,8,FALSE)),"",VLOOKUP(A18,'奖、罚款记录'!$A$4:$H$38,8,FALSE))</f>
        <v/>
      </c>
      <c r="H18" s="74">
        <f>IF(C18="销售部",VLOOKUP(A18,'奖、罚款记录'!$A$4:$J$14,10),0)</f>
        <v>0</v>
      </c>
      <c r="I18" s="74">
        <f>VLOOKUP(A18,福利待遇表!$A$3:$I$25,9)</f>
        <v>610</v>
      </c>
      <c r="J18" s="11">
        <f>VLOOKUP(A18,考勤扣款统计!$A$7:$P$50,16)</f>
        <v>0</v>
      </c>
      <c r="K18" s="73">
        <f t="shared" ca="1" si="0"/>
        <v>4210</v>
      </c>
      <c r="L18" s="11">
        <f>VLOOKUP(A18,考勤扣款统计!$A$7:$P$50,15)</f>
        <v>100</v>
      </c>
      <c r="M18" s="74">
        <f ca="1">IF(K18&lt;=800,ROUND((K18-1000)*所得税!$C$7,2),IF(K18&lt;=2000,ROUND(((K18-1000)*所得税!$C$8-25),2),IF(K18&lt;=5000,ROUND((K18-1000)*所得税!$C$9-125,2),IF(K18&lt;=20000,ROUND((K18-1000)*所得税!$C$10-375,2),IF(K18&lt;=40000,ROUND((K18-1000)*所得税!$C$11-1375,2),IF(K18&lt;=60000,ROUND((K18-1000)*所得税!$C$12-3375,2),IF(K18&lt;=80000,ROUND((K18-1000)*所得税!$C$13-6375,2),IF(K18&lt;=100000,ROUND((K18-1000)*所得税!$C$14-10375,2),ROUND((K18-1000)*所得税!$C$15-15375,2)))))))))</f>
        <v>356.5</v>
      </c>
      <c r="N18" s="73">
        <f t="shared" ca="1" si="1"/>
        <v>456.5</v>
      </c>
      <c r="O18" s="72">
        <f t="shared" ca="1" si="2"/>
        <v>3753.5</v>
      </c>
    </row>
    <row r="19" spans="1:15" ht="15.6" thickTop="1" thickBot="1">
      <c r="A19" s="12" t="str">
        <f>基本工资记录表!A18</f>
        <v>RQ_0016</v>
      </c>
      <c r="B19" s="75" t="str">
        <f>基本工资记录表!B18</f>
        <v>冯亦梁</v>
      </c>
      <c r="C19" s="75" t="str">
        <f>基本工资记录表!C18</f>
        <v>销售部</v>
      </c>
      <c r="D19" s="75">
        <f>基本工资记录表!G18</f>
        <v>800</v>
      </c>
      <c r="E19" s="75">
        <f>基本工资记录表!H18</f>
        <v>100</v>
      </c>
      <c r="F19" s="75">
        <f ca="1">基本工资记录表!I18</f>
        <v>960</v>
      </c>
      <c r="G19" s="74">
        <f>IF(ISERROR(VLOOKUP(A19,'奖、罚款记录'!$A$4:$H$38,8,FALSE)),"",VLOOKUP(A19,'奖、罚款记录'!$A$4:$H$38,8,FALSE))</f>
        <v>1500</v>
      </c>
      <c r="H19" s="74" t="str">
        <f>IF(C19="销售部",VLOOKUP(A19,'奖、罚款记录'!$A$4:$J$14,10),0)</f>
        <v/>
      </c>
      <c r="I19" s="74">
        <f>VLOOKUP(A19,福利待遇表!$A$3:$I$25,9)</f>
        <v>610</v>
      </c>
      <c r="J19" s="11">
        <f>VLOOKUP(A19,考勤扣款统计!$A$7:$P$50,16)</f>
        <v>0</v>
      </c>
      <c r="K19" s="73">
        <f t="shared" ca="1" si="0"/>
        <v>3970</v>
      </c>
      <c r="L19" s="11">
        <f>VLOOKUP(A19,考勤扣款统计!$A$7:$P$50,15)</f>
        <v>110</v>
      </c>
      <c r="M19" s="74">
        <f ca="1">IF(K19&lt;=800,ROUND((K19-1000)*所得税!$C$7,2),IF(K19&lt;=2000,ROUND(((K19-1000)*所得税!$C$8-25),2),IF(K19&lt;=5000,ROUND((K19-1000)*所得税!$C$9-125,2),IF(K19&lt;=20000,ROUND((K19-1000)*所得税!$C$10-375,2),IF(K19&lt;=40000,ROUND((K19-1000)*所得税!$C$11-1375,2),IF(K19&lt;=60000,ROUND((K19-1000)*所得税!$C$12-3375,2),IF(K19&lt;=80000,ROUND((K19-1000)*所得税!$C$13-6375,2),IF(K19&lt;=100000,ROUND((K19-1000)*所得税!$C$14-10375,2),ROUND((K19-1000)*所得税!$C$15-15375,2)))))))))</f>
        <v>320.5</v>
      </c>
      <c r="N19" s="73">
        <f t="shared" ca="1" si="1"/>
        <v>430.5</v>
      </c>
      <c r="O19" s="72">
        <f t="shared" ca="1" si="2"/>
        <v>3539.5</v>
      </c>
    </row>
    <row r="20" spans="1:15" ht="15.6" thickTop="1" thickBot="1">
      <c r="A20" s="12" t="str">
        <f>基本工资记录表!A19</f>
        <v>RQ_0017</v>
      </c>
      <c r="B20" s="75" t="str">
        <f>基本工资记录表!B19</f>
        <v>秦超</v>
      </c>
      <c r="C20" s="75" t="str">
        <f>基本工资记录表!C19</f>
        <v>服务部</v>
      </c>
      <c r="D20" s="75">
        <f>基本工资记录表!G19</f>
        <v>2000</v>
      </c>
      <c r="E20" s="75">
        <f>基本工资记录表!H19</f>
        <v>280</v>
      </c>
      <c r="F20" s="75">
        <f ca="1">基本工资记录表!I19</f>
        <v>960</v>
      </c>
      <c r="G20" s="74" t="str">
        <f>IF(ISERROR(VLOOKUP(A20,'奖、罚款记录'!$A$4:$H$38,8,FALSE)),"",VLOOKUP(A20,'奖、罚款记录'!$A$4:$H$38,8,FALSE))</f>
        <v/>
      </c>
      <c r="H20" s="74">
        <f>IF(C20="销售部",VLOOKUP(A20,'奖、罚款记录'!$A$4:$J$14,10),0)</f>
        <v>0</v>
      </c>
      <c r="I20" s="74">
        <f>VLOOKUP(A20,福利待遇表!$A$3:$I$25,9)</f>
        <v>610</v>
      </c>
      <c r="J20" s="11">
        <f>VLOOKUP(A20,考勤扣款统计!$A$7:$P$50,16)</f>
        <v>200</v>
      </c>
      <c r="K20" s="73">
        <f t="shared" ca="1" si="0"/>
        <v>4050</v>
      </c>
      <c r="L20" s="11">
        <f>VLOOKUP(A20,考勤扣款统计!$A$7:$P$50,15)</f>
        <v>0</v>
      </c>
      <c r="M20" s="74">
        <f ca="1">IF(K20&lt;=800,ROUND((K20-1000)*所得税!$C$7,2),IF(K20&lt;=2000,ROUND(((K20-1000)*所得税!$C$8-25),2),IF(K20&lt;=5000,ROUND((K20-1000)*所得税!$C$9-125,2),IF(K20&lt;=20000,ROUND((K20-1000)*所得税!$C$10-375,2),IF(K20&lt;=40000,ROUND((K20-1000)*所得税!$C$11-1375,2),IF(K20&lt;=60000,ROUND((K20-1000)*所得税!$C$12-3375,2),IF(K20&lt;=80000,ROUND((K20-1000)*所得税!$C$13-6375,2),IF(K20&lt;=100000,ROUND((K20-1000)*所得税!$C$14-10375,2),ROUND((K20-1000)*所得税!$C$15-15375,2)))))))))</f>
        <v>332.5</v>
      </c>
      <c r="N20" s="73">
        <f t="shared" ca="1" si="1"/>
        <v>332.5</v>
      </c>
      <c r="O20" s="72">
        <f t="shared" ca="1" si="2"/>
        <v>3717.5</v>
      </c>
    </row>
    <row r="21" spans="1:15" ht="15.6" thickTop="1" thickBot="1">
      <c r="A21" s="12" t="str">
        <f>基本工资记录表!A20</f>
        <v>RQ_0018</v>
      </c>
      <c r="B21" s="75" t="str">
        <f>基本工资记录表!B20</f>
        <v>郑辰</v>
      </c>
      <c r="C21" s="75" t="str">
        <f>基本工资记录表!C20</f>
        <v>服务部</v>
      </c>
      <c r="D21" s="75">
        <f>基本工资记录表!G20</f>
        <v>2000</v>
      </c>
      <c r="E21" s="75">
        <f>基本工资记录表!H20</f>
        <v>280</v>
      </c>
      <c r="F21" s="75">
        <f ca="1">基本工资记录表!I20</f>
        <v>1600</v>
      </c>
      <c r="G21" s="74" t="str">
        <f>IF(ISERROR(VLOOKUP(A21,'奖、罚款记录'!$A$4:$H$38,8,FALSE)),"",VLOOKUP(A21,'奖、罚款记录'!$A$4:$H$38,8,FALSE))</f>
        <v/>
      </c>
      <c r="H21" s="74">
        <f>IF(C21="销售部",VLOOKUP(A21,'奖、罚款记录'!$A$4:$J$14,10),0)</f>
        <v>0</v>
      </c>
      <c r="I21" s="74">
        <f>VLOOKUP(A21,福利待遇表!$A$3:$I$25,9)</f>
        <v>610</v>
      </c>
      <c r="J21" s="11">
        <f>VLOOKUP(A21,考勤扣款统计!$A$7:$P$50,16)</f>
        <v>0</v>
      </c>
      <c r="K21" s="73">
        <f t="shared" ca="1" si="0"/>
        <v>4490</v>
      </c>
      <c r="L21" s="11">
        <f>VLOOKUP(A21,考勤扣款统计!$A$7:$P$50,15)</f>
        <v>260</v>
      </c>
      <c r="M21" s="74">
        <f ca="1">IF(K21&lt;=800,ROUND((K21-1000)*所得税!$C$7,2),IF(K21&lt;=2000,ROUND(((K21-1000)*所得税!$C$8-25),2),IF(K21&lt;=5000,ROUND((K21-1000)*所得税!$C$9-125,2),IF(K21&lt;=20000,ROUND((K21-1000)*所得税!$C$10-375,2),IF(K21&lt;=40000,ROUND((K21-1000)*所得税!$C$11-1375,2),IF(K21&lt;=60000,ROUND((K21-1000)*所得税!$C$12-3375,2),IF(K21&lt;=80000,ROUND((K21-1000)*所得税!$C$13-6375,2),IF(K21&lt;=100000,ROUND((K21-1000)*所得税!$C$14-10375,2),ROUND((K21-1000)*所得税!$C$15-15375,2)))))))))</f>
        <v>398.5</v>
      </c>
      <c r="N21" s="73">
        <f t="shared" ca="1" si="1"/>
        <v>658.5</v>
      </c>
      <c r="O21" s="72">
        <f t="shared" ca="1" si="2"/>
        <v>3831.5</v>
      </c>
    </row>
    <row r="22" spans="1:15" ht="15.6" thickTop="1" thickBot="1">
      <c r="A22" s="12" t="str">
        <f>基本工资记录表!A21</f>
        <v>RQ_0019</v>
      </c>
      <c r="B22" s="75" t="str">
        <f>基本工资记录表!B21</f>
        <v>吴文铮</v>
      </c>
      <c r="C22" s="75" t="str">
        <f>基本工资记录表!C21</f>
        <v>人事部</v>
      </c>
      <c r="D22" s="75">
        <f>基本工资记录表!G21</f>
        <v>1500</v>
      </c>
      <c r="E22" s="75">
        <f>基本工资记录表!H21</f>
        <v>200</v>
      </c>
      <c r="F22" s="75">
        <f ca="1">基本工资记录表!I21</f>
        <v>1520</v>
      </c>
      <c r="G22" s="74" t="str">
        <f>IF(ISERROR(VLOOKUP(A22,'奖、罚款记录'!$A$4:$H$38,8,FALSE)),"",VLOOKUP(A22,'奖、罚款记录'!$A$4:$H$38,8,FALSE))</f>
        <v/>
      </c>
      <c r="H22" s="74">
        <f>IF(C22="销售部",VLOOKUP(A22,'奖、罚款记录'!$A$4:$J$14,10),0)</f>
        <v>0</v>
      </c>
      <c r="I22" s="74">
        <f>VLOOKUP(A22,福利待遇表!$A$3:$I$25,9)</f>
        <v>610</v>
      </c>
      <c r="J22" s="11">
        <f>VLOOKUP(A22,考勤扣款统计!$A$7:$P$50,16)</f>
        <v>0</v>
      </c>
      <c r="K22" s="73">
        <f t="shared" ca="1" si="0"/>
        <v>3830</v>
      </c>
      <c r="L22" s="11">
        <f>VLOOKUP(A22,考勤扣款统计!$A$7:$P$50,15)</f>
        <v>60</v>
      </c>
      <c r="M22" s="74">
        <f ca="1">IF(K22&lt;=800,ROUND((K22-1000)*所得税!$C$7,2),IF(K22&lt;=2000,ROUND(((K22-1000)*所得税!$C$8-25),2),IF(K22&lt;=5000,ROUND((K22-1000)*所得税!$C$9-125,2),IF(K22&lt;=20000,ROUND((K22-1000)*所得税!$C$10-375,2),IF(K22&lt;=40000,ROUND((K22-1000)*所得税!$C$11-1375,2),IF(K22&lt;=60000,ROUND((K22-1000)*所得税!$C$12-3375,2),IF(K22&lt;=80000,ROUND((K22-1000)*所得税!$C$13-6375,2),IF(K22&lt;=100000,ROUND((K22-1000)*所得税!$C$14-10375,2),ROUND((K22-1000)*所得税!$C$15-15375,2)))))))))</f>
        <v>299.5</v>
      </c>
      <c r="N22" s="73">
        <f t="shared" ca="1" si="1"/>
        <v>359.5</v>
      </c>
      <c r="O22" s="72">
        <f t="shared" ca="1" si="2"/>
        <v>3470.5</v>
      </c>
    </row>
    <row r="23" spans="1:15" ht="15.6" thickTop="1" thickBot="1">
      <c r="A23" s="12" t="str">
        <f>基本工资记录表!A22</f>
        <v>RQ_0020</v>
      </c>
      <c r="B23" s="75" t="str">
        <f>基本工资记录表!B22</f>
        <v>史佳颖</v>
      </c>
      <c r="C23" s="75" t="str">
        <f>基本工资记录表!C22</f>
        <v>行销企划部</v>
      </c>
      <c r="D23" s="75">
        <f>基本工资记录表!G22</f>
        <v>1500</v>
      </c>
      <c r="E23" s="75">
        <f>基本工资记录表!H22</f>
        <v>200</v>
      </c>
      <c r="F23" s="75">
        <f ca="1">基本工资记录表!I22</f>
        <v>880</v>
      </c>
      <c r="G23" s="74" t="str">
        <f>IF(ISERROR(VLOOKUP(A23,'奖、罚款记录'!$A$4:$H$38,8,FALSE)),"",VLOOKUP(A23,'奖、罚款记录'!$A$4:$H$38,8,FALSE))</f>
        <v/>
      </c>
      <c r="H23" s="74">
        <f>IF(C23="销售部",VLOOKUP(A23,'奖、罚款记录'!$A$4:$J$14,10),0)</f>
        <v>0</v>
      </c>
      <c r="I23" s="74">
        <f>VLOOKUP(A23,福利待遇表!$A$3:$I$25,9)</f>
        <v>610</v>
      </c>
      <c r="J23" s="11">
        <f>VLOOKUP(A23,考勤扣款统计!$A$7:$P$50,16)</f>
        <v>0</v>
      </c>
      <c r="K23" s="73">
        <f t="shared" ca="1" si="0"/>
        <v>3190</v>
      </c>
      <c r="L23" s="11">
        <f>VLOOKUP(A23,考勤扣款统计!$A$7:$P$50,15)</f>
        <v>250</v>
      </c>
      <c r="M23" s="74">
        <f ca="1">IF(K23&lt;=800,ROUND((K23-1000)*所得税!$C$7,2),IF(K23&lt;=2000,ROUND(((K23-1000)*所得税!$C$8-25),2),IF(K23&lt;=5000,ROUND((K23-1000)*所得税!$C$9-125,2),IF(K23&lt;=20000,ROUND((K23-1000)*所得税!$C$10-375,2),IF(K23&lt;=40000,ROUND((K23-1000)*所得税!$C$11-1375,2),IF(K23&lt;=60000,ROUND((K23-1000)*所得税!$C$12-3375,2),IF(K23&lt;=80000,ROUND((K23-1000)*所得税!$C$13-6375,2),IF(K23&lt;=100000,ROUND((K23-1000)*所得税!$C$14-10375,2),ROUND((K23-1000)*所得税!$C$15-15375,2)))))))))</f>
        <v>203.5</v>
      </c>
      <c r="N23" s="73">
        <f t="shared" ca="1" si="1"/>
        <v>453.5</v>
      </c>
      <c r="O23" s="72">
        <f t="shared" ca="1" si="2"/>
        <v>2736.5</v>
      </c>
    </row>
    <row r="24" spans="1:15" ht="15.6" thickTop="1" thickBot="1">
      <c r="A24" s="12" t="str">
        <f>基本工资记录表!A23</f>
        <v>RQ_0021</v>
      </c>
      <c r="B24" s="75" t="str">
        <f>基本工资记录表!B23</f>
        <v>方琛菲</v>
      </c>
      <c r="C24" s="75" t="str">
        <f>基本工资记录表!C23</f>
        <v>网络安全部</v>
      </c>
      <c r="D24" s="75">
        <f>基本工资记录表!G23</f>
        <v>2200</v>
      </c>
      <c r="E24" s="75">
        <f>基本工资记录表!H23</f>
        <v>280</v>
      </c>
      <c r="F24" s="75">
        <f ca="1">基本工资记录表!I23</f>
        <v>1120</v>
      </c>
      <c r="G24" s="74" t="str">
        <f>IF(ISERROR(VLOOKUP(A24,'奖、罚款记录'!$A$4:$H$38,8,FALSE)),"",VLOOKUP(A24,'奖、罚款记录'!$A$4:$H$38,8,FALSE))</f>
        <v/>
      </c>
      <c r="H24" s="74">
        <f>IF(C24="销售部",VLOOKUP(A24,'奖、罚款记录'!$A$4:$J$14,10),0)</f>
        <v>0</v>
      </c>
      <c r="I24" s="74">
        <f>VLOOKUP(A24,福利待遇表!$A$3:$I$25,9)</f>
        <v>610</v>
      </c>
      <c r="J24" s="11">
        <f>VLOOKUP(A24,考勤扣款统计!$A$7:$P$50,16)</f>
        <v>200</v>
      </c>
      <c r="K24" s="73">
        <f t="shared" ca="1" si="0"/>
        <v>4410</v>
      </c>
      <c r="L24" s="11">
        <f>VLOOKUP(A24,考勤扣款统计!$A$7:$P$50,15)</f>
        <v>0</v>
      </c>
      <c r="M24" s="74">
        <f ca="1">IF(K24&lt;=800,ROUND((K24-1000)*所得税!$C$7,2),IF(K24&lt;=2000,ROUND(((K24-1000)*所得税!$C$8-25),2),IF(K24&lt;=5000,ROUND((K24-1000)*所得税!$C$9-125,2),IF(K24&lt;=20000,ROUND((K24-1000)*所得税!$C$10-375,2),IF(K24&lt;=40000,ROUND((K24-1000)*所得税!$C$11-1375,2),IF(K24&lt;=60000,ROUND((K24-1000)*所得税!$C$12-3375,2),IF(K24&lt;=80000,ROUND((K24-1000)*所得税!$C$13-6375,2),IF(K24&lt;=100000,ROUND((K24-1000)*所得税!$C$14-10375,2),ROUND((K24-1000)*所得税!$C$15-15375,2)))))))))</f>
        <v>386.5</v>
      </c>
      <c r="N24" s="73">
        <f t="shared" ca="1" si="1"/>
        <v>386.5</v>
      </c>
      <c r="O24" s="72">
        <f t="shared" ca="1" si="2"/>
        <v>4023.5</v>
      </c>
    </row>
    <row r="25" spans="1:15" ht="15.6" thickTop="1" thickBot="1">
      <c r="A25" s="12" t="str">
        <f>基本工资记录表!A24</f>
        <v>RQ_0022</v>
      </c>
      <c r="B25" s="75" t="str">
        <f>基本工资记录表!B24</f>
        <v>谭风明</v>
      </c>
      <c r="C25" s="75" t="str">
        <f>基本工资记录表!C24</f>
        <v>销售部</v>
      </c>
      <c r="D25" s="75">
        <f>基本工资记录表!G24</f>
        <v>800</v>
      </c>
      <c r="E25" s="75">
        <f>基本工资记录表!H24</f>
        <v>100</v>
      </c>
      <c r="F25" s="75">
        <f ca="1">基本工资记录表!I24</f>
        <v>800</v>
      </c>
      <c r="G25" s="74">
        <f>IF(ISERROR(VLOOKUP(A25,'奖、罚款记录'!$A$4:$H$38,8,FALSE)),"",VLOOKUP(A25,'奖、罚款记录'!$A$4:$H$38,8,FALSE))</f>
        <v>1600</v>
      </c>
      <c r="H25" s="74" t="str">
        <f>IF(C25="销售部",VLOOKUP(A25,'奖、罚款记录'!$A$4:$J$14,10),0)</f>
        <v/>
      </c>
      <c r="I25" s="74">
        <f>VLOOKUP(A25,福利待遇表!$A$3:$I$25,9)</f>
        <v>610</v>
      </c>
      <c r="J25" s="11">
        <f>VLOOKUP(A25,考勤扣款统计!$A$7:$P$50,16)</f>
        <v>0</v>
      </c>
      <c r="K25" s="73">
        <f t="shared" ca="1" si="0"/>
        <v>3910</v>
      </c>
      <c r="L25" s="11">
        <f>VLOOKUP(A25,考勤扣款统计!$A$7:$P$50,15)</f>
        <v>50</v>
      </c>
      <c r="M25" s="74">
        <f ca="1">IF(K25&lt;=800,ROUND((K25-1000)*所得税!$C$7,2),IF(K25&lt;=2000,ROUND(((K25-1000)*所得税!$C$8-25),2),IF(K25&lt;=5000,ROUND((K25-1000)*所得税!$C$9-125,2),IF(K25&lt;=20000,ROUND((K25-1000)*所得税!$C$10-375,2),IF(K25&lt;=40000,ROUND((K25-1000)*所得税!$C$11-1375,2),IF(K25&lt;=60000,ROUND((K25-1000)*所得税!$C$12-3375,2),IF(K25&lt;=80000,ROUND((K25-1000)*所得税!$C$13-6375,2),IF(K25&lt;=100000,ROUND((K25-1000)*所得税!$C$14-10375,2),ROUND((K25-1000)*所得税!$C$15-15375,2)))))))))</f>
        <v>311.5</v>
      </c>
      <c r="N25" s="73">
        <f t="shared" ca="1" si="1"/>
        <v>361.5</v>
      </c>
      <c r="O25" s="72">
        <f t="shared" ca="1" si="2"/>
        <v>3548.5</v>
      </c>
    </row>
    <row r="26" spans="1:15" ht="15" thickTop="1">
      <c r="A26" s="12" t="str">
        <f>基本工资记录表!A25</f>
        <v>RQ_0023</v>
      </c>
      <c r="B26" s="75" t="str">
        <f>基本工资记录表!B25</f>
        <v>赵中华</v>
      </c>
      <c r="C26" s="75" t="str">
        <f>基本工资记录表!C25</f>
        <v>行销企划部</v>
      </c>
      <c r="D26" s="75">
        <f>基本工资记录表!G25</f>
        <v>1500</v>
      </c>
      <c r="E26" s="75">
        <f>基本工资记录表!H25</f>
        <v>200</v>
      </c>
      <c r="F26" s="75">
        <f ca="1">基本工资记录表!I25</f>
        <v>560</v>
      </c>
      <c r="G26" s="74" t="str">
        <f>IF(ISERROR(VLOOKUP(A26,'奖、罚款记录'!$A$4:$H$38,8,FALSE)),"",VLOOKUP(A26,'奖、罚款记录'!$A$4:$H$38,8,FALSE))</f>
        <v/>
      </c>
      <c r="H26" s="74">
        <f>IF(C26="销售部",VLOOKUP(A26,'奖、罚款记录'!$A$4:$J$14,10),0)</f>
        <v>0</v>
      </c>
      <c r="I26" s="74">
        <f>VLOOKUP(A26,福利待遇表!$A$3:$I$25,9)</f>
        <v>610</v>
      </c>
      <c r="J26" s="11">
        <f>VLOOKUP(A26,考勤扣款统计!$A$7:$P$50,16)</f>
        <v>0</v>
      </c>
      <c r="K26" s="73">
        <f t="shared" ca="1" si="0"/>
        <v>2870</v>
      </c>
      <c r="L26" s="11">
        <f>VLOOKUP(A26,考勤扣款统计!$A$7:$P$50,15)</f>
        <v>50</v>
      </c>
      <c r="M26" s="74">
        <f ca="1">IF(K26&lt;=800,ROUND((K26-1000)*所得税!$C$7,2),IF(K26&lt;=2000,ROUND(((K26-1000)*所得税!$C$8-25),2),IF(K26&lt;=5000,ROUND((K26-1000)*所得税!$C$9-125,2),IF(K26&lt;=20000,ROUND((K26-1000)*所得税!$C$10-375,2),IF(K26&lt;=40000,ROUND((K26-1000)*所得税!$C$11-1375,2),IF(K26&lt;=60000,ROUND((K26-1000)*所得税!$C$12-3375,2),IF(K26&lt;=80000,ROUND((K26-1000)*所得税!$C$13-6375,2),IF(K26&lt;=100000,ROUND((K26-1000)*所得税!$C$14-10375,2),ROUND((K26-1000)*所得税!$C$15-15375,2)))))))))</f>
        <v>155.5</v>
      </c>
      <c r="N26" s="73">
        <f t="shared" ca="1" si="1"/>
        <v>205.5</v>
      </c>
      <c r="O26" s="72">
        <f t="shared" ca="1" si="2"/>
        <v>2664.5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showGridLines="0" workbookViewId="0">
      <selection activeCell="F5" sqref="F5"/>
    </sheetView>
  </sheetViews>
  <sheetFormatPr defaultRowHeight="14.4"/>
  <cols>
    <col min="1" max="1" width="9.33203125" customWidth="1"/>
    <col min="2" max="2" width="9.77734375" customWidth="1"/>
    <col min="3" max="3" width="8.109375" customWidth="1"/>
    <col min="4" max="4" width="7.33203125" customWidth="1"/>
    <col min="5" max="5" width="8" customWidth="1"/>
    <col min="6" max="6" width="9.109375" customWidth="1"/>
    <col min="7" max="7" width="6" customWidth="1"/>
    <col min="8" max="8" width="8.109375" customWidth="1"/>
    <col min="9" max="9" width="8.44140625" customWidth="1"/>
    <col min="10" max="10" width="8.33203125" customWidth="1"/>
    <col min="11" max="11" width="9.21875" customWidth="1"/>
    <col min="12" max="12" width="7.88671875" customWidth="1"/>
    <col min="13" max="13" width="8.21875" customWidth="1"/>
  </cols>
  <sheetData>
    <row r="1" spans="1:13" ht="31.5" customHeight="1" thickBot="1">
      <c r="A1" s="107" t="s">
        <v>175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ht="18.75" customHeight="1" thickTop="1">
      <c r="A2" s="86" t="s">
        <v>174</v>
      </c>
      <c r="B2" s="89" t="s">
        <v>182</v>
      </c>
      <c r="D2" s="86" t="s">
        <v>172</v>
      </c>
      <c r="E2" s="89" t="str">
        <f>VLOOKUP(B2,工资表,2)</f>
        <v>黄昕恺</v>
      </c>
      <c r="F2" s="90"/>
      <c r="H2" s="86" t="s">
        <v>171</v>
      </c>
      <c r="I2" s="89" t="str">
        <f>VLOOKUP(B2,工资表,3)</f>
        <v>财务部</v>
      </c>
      <c r="K2" s="86" t="s">
        <v>170</v>
      </c>
      <c r="L2" s="88">
        <f ca="1">VLOOKUP(B2,工资表,15)</f>
        <v>5415</v>
      </c>
      <c r="M2" s="82"/>
    </row>
    <row r="3" spans="1:13" ht="22.5" customHeight="1" thickBot="1">
      <c r="A3" s="87" t="s">
        <v>169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17"/>
    </row>
    <row r="4" spans="1:13" ht="31.5" customHeight="1" thickTop="1" thickBot="1">
      <c r="A4" s="92" t="s">
        <v>168</v>
      </c>
      <c r="B4" s="92" t="s">
        <v>167</v>
      </c>
      <c r="C4" s="92" t="s">
        <v>166</v>
      </c>
      <c r="D4" s="92" t="s">
        <v>165</v>
      </c>
      <c r="E4" s="92" t="s">
        <v>180</v>
      </c>
      <c r="F4" s="92" t="s">
        <v>179</v>
      </c>
      <c r="G4" s="92" t="s">
        <v>164</v>
      </c>
      <c r="H4" s="92" t="s">
        <v>161</v>
      </c>
      <c r="I4" s="92" t="s">
        <v>178</v>
      </c>
      <c r="J4" s="92" t="s">
        <v>159</v>
      </c>
      <c r="K4" s="92" t="s">
        <v>177</v>
      </c>
      <c r="L4" s="91" t="s">
        <v>170</v>
      </c>
    </row>
    <row r="5" spans="1:13" ht="16.5" customHeight="1" thickTop="1" thickBot="1">
      <c r="A5" s="84">
        <f t="shared" ref="A5:J5" si="0">VLOOKUP($B2,工资表,COLUMN(D1))</f>
        <v>1500</v>
      </c>
      <c r="B5" s="84">
        <f t="shared" si="0"/>
        <v>1400</v>
      </c>
      <c r="C5" s="84">
        <f t="shared" ca="1" si="0"/>
        <v>1600</v>
      </c>
      <c r="D5" s="84" t="str">
        <f t="shared" si="0"/>
        <v/>
      </c>
      <c r="E5" s="84">
        <f t="shared" si="0"/>
        <v>0</v>
      </c>
      <c r="F5" s="84">
        <f t="shared" si="0"/>
        <v>1350</v>
      </c>
      <c r="G5" s="84">
        <f t="shared" si="0"/>
        <v>200</v>
      </c>
      <c r="H5" s="84">
        <f t="shared" ca="1" si="0"/>
        <v>6050</v>
      </c>
      <c r="I5" s="84">
        <f t="shared" si="0"/>
        <v>0</v>
      </c>
      <c r="J5" s="84">
        <f t="shared" ca="1" si="0"/>
        <v>635</v>
      </c>
      <c r="K5" s="84">
        <f ca="1">VLOOKUP($B2,工资表,COLUMN(M1))</f>
        <v>635</v>
      </c>
      <c r="L5" s="84">
        <f ca="1">VLOOKUP($B2,工资表,COLUMN(N1))</f>
        <v>635</v>
      </c>
    </row>
    <row r="6" spans="1:13" ht="15" thickTop="1">
      <c r="A6" s="83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</row>
    <row r="7" spans="1:13" ht="29.25" customHeight="1" thickBot="1">
      <c r="A7" s="107" t="s">
        <v>175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</row>
    <row r="8" spans="1:13" ht="14.25" customHeight="1" thickTop="1">
      <c r="A8" s="86" t="s">
        <v>174</v>
      </c>
      <c r="B8" s="89" t="s">
        <v>181</v>
      </c>
      <c r="D8" s="86" t="s">
        <v>172</v>
      </c>
      <c r="E8" s="89" t="str">
        <f>VLOOKUP(B8,工资表,2)</f>
        <v>陈佳栋</v>
      </c>
      <c r="F8" s="90"/>
      <c r="H8" s="86" t="s">
        <v>171</v>
      </c>
      <c r="I8" s="89" t="str">
        <f>VLOOKUP(B8,工资表,3)</f>
        <v>销售部</v>
      </c>
      <c r="K8" s="86" t="s">
        <v>170</v>
      </c>
      <c r="L8" s="88">
        <f ca="1">VLOOKUP(B8,工资表,15)</f>
        <v>3199</v>
      </c>
      <c r="M8" s="82"/>
    </row>
    <row r="9" spans="1:13" ht="16.2" thickBot="1">
      <c r="A9" s="87" t="s">
        <v>169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</row>
    <row r="10" spans="1:13" ht="31.5" customHeight="1" thickTop="1" thickBot="1">
      <c r="A10" s="92" t="s">
        <v>168</v>
      </c>
      <c r="B10" s="92" t="s">
        <v>167</v>
      </c>
      <c r="C10" s="92" t="s">
        <v>166</v>
      </c>
      <c r="D10" s="92" t="s">
        <v>165</v>
      </c>
      <c r="E10" s="92" t="s">
        <v>180</v>
      </c>
      <c r="F10" s="92" t="s">
        <v>179</v>
      </c>
      <c r="G10" s="92" t="s">
        <v>164</v>
      </c>
      <c r="H10" s="92" t="s">
        <v>161</v>
      </c>
      <c r="I10" s="92" t="s">
        <v>178</v>
      </c>
      <c r="J10" s="92" t="s">
        <v>159</v>
      </c>
      <c r="K10" s="92" t="s">
        <v>177</v>
      </c>
      <c r="L10" s="91" t="s">
        <v>170</v>
      </c>
    </row>
    <row r="11" spans="1:13" ht="16.5" customHeight="1" thickTop="1" thickBot="1">
      <c r="A11" s="84">
        <f t="shared" ref="A11:J11" si="1">VLOOKUP($B8,工资表,COLUMN(D7))</f>
        <v>800</v>
      </c>
      <c r="B11" s="84">
        <f t="shared" si="1"/>
        <v>100</v>
      </c>
      <c r="C11" s="84">
        <f t="shared" ca="1" si="1"/>
        <v>880</v>
      </c>
      <c r="D11" s="84">
        <f t="shared" si="1"/>
        <v>1250</v>
      </c>
      <c r="E11" s="84" t="str">
        <f t="shared" si="1"/>
        <v/>
      </c>
      <c r="F11" s="84">
        <f t="shared" si="1"/>
        <v>610</v>
      </c>
      <c r="G11" s="84">
        <f t="shared" si="1"/>
        <v>0</v>
      </c>
      <c r="H11" s="84">
        <f t="shared" ca="1" si="1"/>
        <v>3640</v>
      </c>
      <c r="I11" s="84">
        <f t="shared" si="1"/>
        <v>170</v>
      </c>
      <c r="J11" s="84">
        <f t="shared" ca="1" si="1"/>
        <v>271</v>
      </c>
      <c r="K11" s="84">
        <f ca="1">VLOOKUP($B8,工资表,COLUMN(M7))</f>
        <v>271</v>
      </c>
      <c r="L11" s="84">
        <f ca="1">VLOOKUP($B8,工资表,COLUMN(N7))</f>
        <v>441</v>
      </c>
    </row>
    <row r="12" spans="1:13" ht="15" thickTop="1">
      <c r="A12" s="83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</row>
    <row r="13" spans="1:13" ht="30" thickBot="1">
      <c r="A13" s="107" t="s">
        <v>175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ht="31.8" thickTop="1">
      <c r="A14" s="86" t="s">
        <v>174</v>
      </c>
      <c r="B14" s="89" t="s">
        <v>176</v>
      </c>
      <c r="D14" s="86" t="s">
        <v>172</v>
      </c>
      <c r="E14" s="89" t="str">
        <f>VLOOKUP(B14,工资表,2)</f>
        <v>黄炫龙</v>
      </c>
      <c r="F14" s="90"/>
      <c r="H14" s="86" t="s">
        <v>171</v>
      </c>
      <c r="I14" s="89" t="str">
        <f>VLOOKUP(B14,工资表,3)</f>
        <v>行销企划部</v>
      </c>
      <c r="K14" s="86" t="s">
        <v>170</v>
      </c>
      <c r="L14" s="88">
        <f ca="1">VLOOKUP(B14,工资表,15)</f>
        <v>3429.5</v>
      </c>
      <c r="M14" s="82"/>
    </row>
    <row r="15" spans="1:13" ht="16.2" thickBot="1">
      <c r="A15" s="87" t="s">
        <v>169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</row>
    <row r="16" spans="1:13" ht="20.25" customHeight="1" thickTop="1">
      <c r="A16" s="86" t="s">
        <v>168</v>
      </c>
      <c r="B16" s="85" t="s">
        <v>167</v>
      </c>
      <c r="C16" s="85" t="s">
        <v>166</v>
      </c>
      <c r="D16" s="85" t="s">
        <v>165</v>
      </c>
      <c r="E16" s="85" t="s">
        <v>164</v>
      </c>
      <c r="F16" s="85"/>
      <c r="G16" s="85" t="s">
        <v>163</v>
      </c>
      <c r="H16" s="85" t="s">
        <v>162</v>
      </c>
      <c r="I16" s="85" t="s">
        <v>161</v>
      </c>
      <c r="J16" s="85" t="s">
        <v>160</v>
      </c>
      <c r="K16" s="85" t="s">
        <v>159</v>
      </c>
      <c r="L16" s="85" t="s">
        <v>158</v>
      </c>
    </row>
    <row r="17" spans="1:13" ht="16.5" customHeight="1" thickBot="1">
      <c r="A17" s="84">
        <f t="shared" ref="A17:J17" si="2">VLOOKUP($B14,工资表,COLUMN(D13))</f>
        <v>1500</v>
      </c>
      <c r="B17" s="84">
        <f t="shared" si="2"/>
        <v>200</v>
      </c>
      <c r="C17" s="84">
        <f t="shared" ca="1" si="2"/>
        <v>960</v>
      </c>
      <c r="D17" s="84">
        <f t="shared" si="2"/>
        <v>500</v>
      </c>
      <c r="E17" s="84">
        <f t="shared" si="2"/>
        <v>0</v>
      </c>
      <c r="F17" s="84">
        <f t="shared" si="2"/>
        <v>610</v>
      </c>
      <c r="G17" s="84">
        <f t="shared" si="2"/>
        <v>0</v>
      </c>
      <c r="H17" s="84">
        <f t="shared" ca="1" si="2"/>
        <v>3770</v>
      </c>
      <c r="I17" s="84">
        <f t="shared" si="2"/>
        <v>50</v>
      </c>
      <c r="J17" s="84">
        <f t="shared" ca="1" si="2"/>
        <v>290.5</v>
      </c>
      <c r="K17" s="84">
        <f ca="1">VLOOKUP($B14,工资表,COLUMN(M13))</f>
        <v>290.5</v>
      </c>
      <c r="L17" s="84">
        <f ca="1">VLOOKUP($B14,工资表,COLUMN(N13))</f>
        <v>340.5</v>
      </c>
    </row>
    <row r="18" spans="1:13" ht="15" thickTop="1">
      <c r="A18" s="83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1:13" ht="30" thickBot="1">
      <c r="A19" s="107" t="s">
        <v>175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</row>
    <row r="20" spans="1:13" ht="18.75" customHeight="1" thickTop="1">
      <c r="A20" s="86" t="s">
        <v>174</v>
      </c>
      <c r="B20" s="89" t="s">
        <v>173</v>
      </c>
      <c r="D20" s="86" t="s">
        <v>172</v>
      </c>
      <c r="E20" s="89" t="str">
        <f>VLOOKUP(B20,工资表,2)</f>
        <v>赵中华</v>
      </c>
      <c r="F20" s="90"/>
      <c r="H20" s="86" t="s">
        <v>171</v>
      </c>
      <c r="I20" s="89" t="str">
        <f>VLOOKUP(B20,工资表,3)</f>
        <v>行销企划部</v>
      </c>
      <c r="K20" s="86" t="s">
        <v>170</v>
      </c>
      <c r="L20" s="88">
        <f ca="1">VLOOKUP(B20,工资表,15)</f>
        <v>2664.5</v>
      </c>
      <c r="M20" s="82"/>
    </row>
    <row r="21" spans="1:13" ht="16.2" thickBot="1">
      <c r="A21" s="87" t="s">
        <v>169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</row>
    <row r="22" spans="1:13" ht="31.8" thickTop="1">
      <c r="A22" s="86" t="s">
        <v>168</v>
      </c>
      <c r="B22" s="85" t="s">
        <v>167</v>
      </c>
      <c r="C22" s="85" t="s">
        <v>166</v>
      </c>
      <c r="D22" s="85" t="s">
        <v>165</v>
      </c>
      <c r="E22" s="85" t="s">
        <v>164</v>
      </c>
      <c r="F22" s="85"/>
      <c r="G22" s="85" t="s">
        <v>163</v>
      </c>
      <c r="H22" s="85" t="s">
        <v>162</v>
      </c>
      <c r="I22" s="85" t="s">
        <v>161</v>
      </c>
      <c r="J22" s="85" t="s">
        <v>160</v>
      </c>
      <c r="K22" s="85" t="s">
        <v>159</v>
      </c>
      <c r="L22" s="85" t="s">
        <v>158</v>
      </c>
    </row>
    <row r="23" spans="1:13" ht="16.5" customHeight="1" thickBot="1">
      <c r="A23" s="84">
        <f t="shared" ref="A23:J23" si="3">VLOOKUP($B20,工资表,COLUMN(D19))</f>
        <v>1500</v>
      </c>
      <c r="B23" s="84">
        <f t="shared" si="3"/>
        <v>200</v>
      </c>
      <c r="C23" s="84">
        <f t="shared" ca="1" si="3"/>
        <v>560</v>
      </c>
      <c r="D23" s="84" t="str">
        <f t="shared" si="3"/>
        <v/>
      </c>
      <c r="E23" s="84">
        <f t="shared" si="3"/>
        <v>0</v>
      </c>
      <c r="F23" s="84">
        <f t="shared" si="3"/>
        <v>610</v>
      </c>
      <c r="G23" s="84">
        <f t="shared" si="3"/>
        <v>0</v>
      </c>
      <c r="H23" s="84">
        <f t="shared" ca="1" si="3"/>
        <v>2870</v>
      </c>
      <c r="I23" s="84">
        <f t="shared" si="3"/>
        <v>50</v>
      </c>
      <c r="J23" s="84">
        <f t="shared" ca="1" si="3"/>
        <v>155.5</v>
      </c>
      <c r="K23" s="84">
        <f ca="1">VLOOKUP($B20,工资表,COLUMN(M19))</f>
        <v>155.5</v>
      </c>
      <c r="L23" s="84">
        <f ca="1">VLOOKUP($B20,工资表,COLUMN(N19))</f>
        <v>205.5</v>
      </c>
    </row>
    <row r="24" spans="1:13" ht="15" thickTop="1">
      <c r="A24" s="83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</row>
  </sheetData>
  <mergeCells count="4">
    <mergeCell ref="A7:M7"/>
    <mergeCell ref="A13:M13"/>
    <mergeCell ref="A19:M19"/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基本工资记录表</vt:lpstr>
      <vt:lpstr>奖、罚款记录</vt:lpstr>
      <vt:lpstr>考勤表</vt:lpstr>
      <vt:lpstr>考勤扣款统计</vt:lpstr>
      <vt:lpstr>福利待遇表</vt:lpstr>
      <vt:lpstr>所得税</vt:lpstr>
      <vt:lpstr>工资统计表</vt:lpstr>
      <vt:lpstr>工资单</vt:lpstr>
      <vt:lpstr>工资表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2010-08-14T11:56:20Z</dcterms:created>
  <dcterms:modified xsi:type="dcterms:W3CDTF">2018-03-04T13:42:51Z</dcterms:modified>
</cp:coreProperties>
</file>